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ate1904="1"/>
  <mc:AlternateContent xmlns:mc="http://schemas.openxmlformats.org/markup-compatibility/2006">
    <mc:Choice Requires="x15">
      <x15ac:absPath xmlns:x15ac="http://schemas.microsoft.com/office/spreadsheetml/2010/11/ac" url="C:\Users\z8190724\Documents\My Docs\2500 Comps &amp; CAD\Comps text book International V\"/>
    </mc:Choice>
  </mc:AlternateContent>
  <xr:revisionPtr revIDLastSave="0" documentId="13_ncr:1_{AD569623-9895-4C31-8716-63DBEB95A765}" xr6:coauthVersionLast="47" xr6:coauthVersionMax="47" xr10:uidLastSave="{00000000-0000-0000-0000-000000000000}"/>
  <bookViews>
    <workbookView xWindow="-28455" yWindow="1365" windowWidth="23085" windowHeight="12165" tabRatio="834" xr2:uid="{00000000-000D-0000-FFFF-FFFF00000000}"/>
  </bookViews>
  <sheets>
    <sheet name="Ch2 Q1" sheetId="29" r:id="rId1"/>
    <sheet name="Q2" sheetId="28" r:id="rId2"/>
    <sheet name="Q3 " sheetId="22" r:id="rId3"/>
    <sheet name="Q4" sheetId="31" r:id="rId4"/>
    <sheet name="Q5" sheetId="18" r:id="rId5"/>
    <sheet name="Q6" sheetId="27" r:id="rId6"/>
    <sheet name="Q7" sheetId="30" r:id="rId7"/>
    <sheet name="Q8" sheetId="32" r:id="rId8"/>
    <sheet name="Q9" sheetId="26" r:id="rId9"/>
    <sheet name="Q10" sheetId="33" r:id="rId10"/>
    <sheet name="Q11" sheetId="34" r:id="rId11"/>
    <sheet name="Q12" sheetId="35" r:id="rId12"/>
    <sheet name="Q13" sheetId="36" r:id="rId13"/>
    <sheet name="Q14" sheetId="37" r:id="rId14"/>
    <sheet name="Q15" sheetId="38" r:id="rId15"/>
    <sheet name="Q16" sheetId="39" r:id="rId16"/>
    <sheet name="Q17" sheetId="40" r:id="rId17"/>
  </sheets>
  <externalReferences>
    <externalReference r:id="rId18"/>
  </externalReferences>
  <definedNames>
    <definedName name="cccc">#REF!</definedName>
    <definedName name="CoordList" localSheetId="0">#REF!</definedName>
    <definedName name="CoordList" localSheetId="1">#REF!</definedName>
    <definedName name="CoordList" localSheetId="4">'Q5'!#REF!</definedName>
    <definedName name="CoordList">#REF!</definedName>
    <definedName name="coordslist">[1]Resection!$A$9:$D$44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36" l="1"/>
  <c r="B31" i="36"/>
  <c r="C30" i="36"/>
  <c r="B30" i="36"/>
  <c r="C29" i="36"/>
  <c r="B29" i="36"/>
  <c r="F22" i="36"/>
  <c r="E22" i="36"/>
  <c r="D22" i="36"/>
  <c r="G22" i="36" s="1"/>
  <c r="C22" i="36"/>
  <c r="I21" i="36" s="1"/>
  <c r="B22" i="36"/>
  <c r="F21" i="36"/>
  <c r="E21" i="36"/>
  <c r="D21" i="36"/>
  <c r="G21" i="36" s="1"/>
  <c r="H21" i="36" s="1"/>
  <c r="C21" i="36"/>
  <c r="B21" i="36"/>
  <c r="I20" i="36" s="1"/>
  <c r="F20" i="36"/>
  <c r="E20" i="36"/>
  <c r="D20" i="36"/>
  <c r="G20" i="36" s="1"/>
  <c r="C20" i="36"/>
  <c r="B20" i="36"/>
  <c r="G7" i="36"/>
  <c r="C7" i="36"/>
  <c r="G5" i="36"/>
  <c r="H5" i="36" s="1"/>
  <c r="G4" i="36"/>
  <c r="H4" i="36" s="1"/>
  <c r="H6" i="36" s="1"/>
  <c r="G3" i="36"/>
  <c r="G29" i="36" s="1"/>
  <c r="K22" i="36" l="1"/>
  <c r="L22" i="36" s="1"/>
  <c r="H22" i="36"/>
  <c r="H23" i="36"/>
  <c r="K21" i="36"/>
  <c r="L21" i="36" s="1"/>
  <c r="G8" i="36"/>
  <c r="G31" i="36"/>
  <c r="H31" i="36" s="1"/>
  <c r="I31" i="36" s="1"/>
  <c r="C9" i="36"/>
  <c r="C8" i="36"/>
  <c r="G9" i="36"/>
  <c r="I22" i="36"/>
  <c r="K20" i="36" s="1"/>
  <c r="L20" i="36" s="1"/>
  <c r="G30" i="36"/>
  <c r="H30" i="36" s="1"/>
  <c r="I30" i="36" s="1"/>
  <c r="J30" i="36" s="1"/>
  <c r="B25" i="36" l="1"/>
  <c r="L30" i="36"/>
  <c r="C10" i="36"/>
  <c r="B10" i="36"/>
  <c r="J31" i="36"/>
  <c r="K31" i="36" s="1"/>
  <c r="L23" i="36"/>
  <c r="C25" i="36" s="1"/>
  <c r="L31" i="36" l="1"/>
  <c r="M31" i="36" s="1"/>
  <c r="L29" i="36"/>
  <c r="M29" i="36" s="1"/>
  <c r="B32" i="36" s="1"/>
  <c r="C32" i="36" s="1"/>
  <c r="M30" i="36"/>
  <c r="G11" i="36"/>
  <c r="G13" i="36" l="1"/>
  <c r="G12" i="36"/>
  <c r="G14" i="36" s="1"/>
  <c r="C15" i="36" s="1"/>
  <c r="C16" i="36" l="1"/>
  <c r="B16" i="36"/>
</calcChain>
</file>

<file path=xl/sharedStrings.xml><?xml version="1.0" encoding="utf-8"?>
<sst xmlns="http://schemas.openxmlformats.org/spreadsheetml/2006/main" count="261" uniqueCount="147">
  <si>
    <t>Pt</t>
  </si>
  <si>
    <t>D</t>
  </si>
  <si>
    <t>A</t>
  </si>
  <si>
    <t>B</t>
  </si>
  <si>
    <t>C</t>
  </si>
  <si>
    <t>E</t>
  </si>
  <si>
    <t>N</t>
  </si>
  <si>
    <t>M</t>
  </si>
  <si>
    <t>S</t>
  </si>
  <si>
    <t>H</t>
  </si>
  <si>
    <t>PA</t>
  </si>
  <si>
    <t>PB</t>
  </si>
  <si>
    <t>PC</t>
  </si>
  <si>
    <t>Line</t>
  </si>
  <si>
    <t>Bearing</t>
  </si>
  <si>
    <t>Distance</t>
  </si>
  <si>
    <t>F</t>
  </si>
  <si>
    <t>INTERSECTION BY ANGLES</t>
  </si>
  <si>
    <t>Angle</t>
  </si>
  <si>
    <t>Point</t>
  </si>
  <si>
    <t>Easting</t>
  </si>
  <si>
    <t>Northing</t>
  </si>
  <si>
    <t>Degrees</t>
  </si>
  <si>
    <t>Minutes</t>
  </si>
  <si>
    <t>Seconds</t>
  </si>
  <si>
    <t>INTERSECTION BY BEARINGS</t>
  </si>
  <si>
    <t>TRILATERATION</t>
  </si>
  <si>
    <t>b</t>
  </si>
  <si>
    <t>a</t>
  </si>
  <si>
    <t>Dir</t>
  </si>
  <si>
    <t>INPUT INSTRUMENT COORDINATES</t>
  </si>
  <si>
    <t>INPUT BEARINGS</t>
  </si>
  <si>
    <t>(m)</t>
  </si>
  <si>
    <t>(Decimal Degrees)</t>
  </si>
  <si>
    <t>POINT</t>
  </si>
  <si>
    <t>EASTING</t>
  </si>
  <si>
    <t>NORTHING</t>
  </si>
  <si>
    <t>BRG From A</t>
  </si>
  <si>
    <t>BRG From B</t>
  </si>
  <si>
    <t>G</t>
  </si>
  <si>
    <t>I</t>
  </si>
  <si>
    <t>J</t>
  </si>
  <si>
    <t>K</t>
  </si>
  <si>
    <t>Distance from T:</t>
  </si>
  <si>
    <t>Marker dist.</t>
  </si>
  <si>
    <t>Dist. on reader</t>
  </si>
  <si>
    <t>c</t>
  </si>
  <si>
    <t>d</t>
  </si>
  <si>
    <t>e</t>
  </si>
  <si>
    <t>f</t>
  </si>
  <si>
    <t xml:space="preserve">Check your answers </t>
  </si>
  <si>
    <t>Q8</t>
  </si>
  <si>
    <t>RESECTION</t>
  </si>
  <si>
    <t>A resection is used to fix point P from points A, B, and C, whose coordinates are listed below.</t>
  </si>
  <si>
    <t>       </t>
  </si>
  <si>
    <t>           </t>
  </si>
  <si>
    <t>    00° 00' 00"</t>
  </si>
  <si>
    <t>  112° 17' 56".7</t>
  </si>
  <si>
    <t>  240° 32' 59".1</t>
  </si>
  <si>
    <t xml:space="preserve"> Observed directions (not bearings)</t>
  </si>
  <si>
    <t>Chapter 2</t>
  </si>
  <si>
    <t>Q1</t>
  </si>
  <si>
    <t>Q3</t>
  </si>
  <si>
    <t>Ch2 Q2</t>
  </si>
  <si>
    <t xml:space="preserve">Q6 </t>
  </si>
  <si>
    <t xml:space="preserve">Q4 </t>
  </si>
  <si>
    <t>Ch2 Q5 Resection</t>
  </si>
  <si>
    <t>Ch2 Q7</t>
  </si>
  <si>
    <t>Q9</t>
  </si>
  <si>
    <t>From</t>
  </si>
  <si>
    <t>To</t>
  </si>
  <si>
    <t xml:space="preserve">244 – 24 </t>
  </si>
  <si>
    <t xml:space="preserve"> 243 – 24 </t>
  </si>
  <si>
    <t xml:space="preserve"> 244 – 243 </t>
  </si>
  <si>
    <t>E(m)</t>
  </si>
  <si>
    <t>N(m)</t>
  </si>
  <si>
    <t>Direction</t>
  </si>
  <si>
    <t xml:space="preserve"> °    ‘    “</t>
  </si>
  <si>
    <t>ZA</t>
  </si>
  <si>
    <t>°    ‘    “</t>
  </si>
  <si>
    <t>0 41 57</t>
  </si>
  <si>
    <t>88 23 56</t>
  </si>
  <si>
    <t>46 42 13</t>
  </si>
  <si>
    <t>93 02 19</t>
  </si>
  <si>
    <t>62 16 26</t>
  </si>
  <si>
    <t>91 45 12</t>
  </si>
  <si>
    <t>Q10</t>
  </si>
  <si>
    <t>Q11</t>
  </si>
  <si>
    <t>W1</t>
  </si>
  <si>
    <t>W2</t>
  </si>
  <si>
    <t>m</t>
  </si>
  <si>
    <t>W3</t>
  </si>
  <si>
    <t>W4</t>
  </si>
  <si>
    <t>Target</t>
  </si>
  <si>
    <t>DMS</t>
  </si>
  <si>
    <t>HD</t>
  </si>
  <si>
    <t>VD</t>
  </si>
  <si>
    <t>Q12</t>
  </si>
  <si>
    <t xml:space="preserve">          Pt</t>
  </si>
  <si>
    <t xml:space="preserve">    E</t>
  </si>
  <si>
    <t xml:space="preserve"> N</t>
  </si>
  <si>
    <t>First Method</t>
  </si>
  <si>
    <t xml:space="preserve">P </t>
  </si>
  <si>
    <t xml:space="preserve">Second method </t>
  </si>
  <si>
    <t>angles</t>
  </si>
  <si>
    <t>w</t>
  </si>
  <si>
    <t>P</t>
  </si>
  <si>
    <t>Third method</t>
  </si>
  <si>
    <t>dd</t>
  </si>
  <si>
    <t>angle</t>
  </si>
  <si>
    <t>Bearings</t>
  </si>
  <si>
    <t>Q14</t>
  </si>
  <si>
    <t xml:space="preserve">Point </t>
  </si>
  <si>
    <t xml:space="preserve">    E(m)</t>
  </si>
  <si>
    <t xml:space="preserve">    N(m)</t>
  </si>
  <si>
    <t xml:space="preserve">To     </t>
  </si>
  <si>
    <t>Directions from 6</t>
  </si>
  <si>
    <t>Q15</t>
  </si>
  <si>
    <t>dAC</t>
  </si>
  <si>
    <t>dBC</t>
  </si>
  <si>
    <t>Q16</t>
  </si>
  <si>
    <t xml:space="preserve">A    </t>
  </si>
  <si>
    <t xml:space="preserve">  0°  00'  00"   </t>
  </si>
  <si>
    <t xml:space="preserve">  </t>
  </si>
  <si>
    <t xml:space="preserve">B </t>
  </si>
  <si>
    <t>38°  30'  00"</t>
  </si>
  <si>
    <t>98°  00'  00"</t>
  </si>
  <si>
    <t>Q17</t>
  </si>
  <si>
    <t>Horizontal directions:</t>
  </si>
  <si>
    <t>0°</t>
  </si>
  <si>
    <t>00’</t>
  </si>
  <si>
    <t>00”</t>
  </si>
  <si>
    <t>180°</t>
  </si>
  <si>
    <t>02”</t>
  </si>
  <si>
    <t>63°</t>
  </si>
  <si>
    <t>12’</t>
  </si>
  <si>
    <t>29”</t>
  </si>
  <si>
    <t>243°</t>
  </si>
  <si>
    <t>31”</t>
  </si>
  <si>
    <t>04”</t>
  </si>
  <si>
    <t>66°</t>
  </si>
  <si>
    <t>09’</t>
  </si>
  <si>
    <t>07’</t>
  </si>
  <si>
    <t>246°</t>
  </si>
  <si>
    <t>09”</t>
  </si>
  <si>
    <t xml:space="preserve">At A     </t>
  </si>
  <si>
    <t xml:space="preserve">At B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</si>
</sst>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0"/>
    <numFmt numFmtId="165" formatCode="00.0"/>
    <numFmt numFmtId="166" formatCode="0.000"/>
    <numFmt numFmtId="167" formatCode="00.00"/>
    <numFmt numFmtId="168" formatCode="0.0"/>
    <numFmt numFmtId="169" formatCode="0.0\ &quot;º&quot;"/>
    <numFmt numFmtId="170" formatCode="0\ &quot;º&quot;"/>
    <numFmt numFmtId="171" formatCode="0.0000"/>
    <numFmt numFmtId="172" formatCode="0.00000"/>
  </numFmts>
  <fonts count="17">
    <font>
      <sz val="10"/>
      <name val="Geneva"/>
    </font>
    <font>
      <b/>
      <sz val="10"/>
      <name val="Geneva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Calibri"/>
      <family val="2"/>
    </font>
    <font>
      <sz val="10"/>
      <name val="Courier New"/>
      <family val="3"/>
    </font>
    <font>
      <sz val="11"/>
      <color rgb="FF231F20"/>
      <name val="Segoe UI"/>
      <family val="2"/>
    </font>
    <font>
      <b/>
      <sz val="10"/>
      <name val="Geneva"/>
    </font>
    <font>
      <sz val="11"/>
      <color rgb="FF231F2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</font>
    <font>
      <sz val="10"/>
      <name val="Geneva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3" fillId="0" borderId="0"/>
  </cellStyleXfs>
  <cellXfs count="101">
    <xf numFmtId="0" fontId="0" fillId="0" borderId="0" xfId="0"/>
    <xf numFmtId="0" fontId="0" fillId="0" borderId="0" xfId="0" applyAlignment="1">
      <alignment horizontal="center"/>
    </xf>
    <xf numFmtId="166" fontId="0" fillId="0" borderId="0" xfId="0" applyNumberFormat="1"/>
    <xf numFmtId="168" fontId="0" fillId="0" borderId="0" xfId="0" applyNumberFormat="1"/>
    <xf numFmtId="164" fontId="0" fillId="0" borderId="0" xfId="0" applyNumberFormat="1"/>
    <xf numFmtId="167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3" fillId="0" borderId="0" xfId="0" applyFont="1"/>
    <xf numFmtId="165" fontId="3" fillId="0" borderId="0" xfId="0" applyNumberFormat="1" applyFont="1"/>
    <xf numFmtId="169" fontId="0" fillId="0" borderId="0" xfId="0" applyNumberFormat="1"/>
    <xf numFmtId="0" fontId="2" fillId="0" borderId="0" xfId="1" applyFont="1"/>
    <xf numFmtId="0" fontId="3" fillId="0" borderId="0" xfId="1"/>
    <xf numFmtId="0" fontId="2" fillId="0" borderId="0" xfId="1" applyFont="1" applyAlignment="1">
      <alignment horizontal="center"/>
    </xf>
    <xf numFmtId="0" fontId="1" fillId="0" borderId="0" xfId="0" applyFont="1"/>
    <xf numFmtId="170" fontId="0" fillId="0" borderId="0" xfId="0" applyNumberFormat="1"/>
    <xf numFmtId="1" fontId="0" fillId="0" borderId="0" xfId="0" applyNumberFormat="1"/>
    <xf numFmtId="0" fontId="3" fillId="0" borderId="1" xfId="0" applyFont="1" applyBorder="1"/>
    <xf numFmtId="0" fontId="4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3" fillId="0" borderId="0" xfId="0" applyFont="1" applyAlignment="1">
      <alignment horizontal="center"/>
    </xf>
    <xf numFmtId="0" fontId="3" fillId="0" borderId="5" xfId="0" applyFont="1" applyBorder="1"/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right"/>
    </xf>
    <xf numFmtId="171" fontId="3" fillId="3" borderId="0" xfId="0" applyNumberFormat="1" applyFont="1" applyFill="1"/>
    <xf numFmtId="171" fontId="3" fillId="3" borderId="5" xfId="0" applyNumberFormat="1" applyFont="1" applyFill="1" applyBorder="1"/>
    <xf numFmtId="0" fontId="3" fillId="0" borderId="6" xfId="0" applyFont="1" applyBorder="1"/>
    <xf numFmtId="171" fontId="3" fillId="3" borderId="7" xfId="0" applyNumberFormat="1" applyFont="1" applyFill="1" applyBorder="1"/>
    <xf numFmtId="171" fontId="3" fillId="3" borderId="8" xfId="0" applyNumberFormat="1" applyFont="1" applyFill="1" applyBorder="1"/>
    <xf numFmtId="0" fontId="3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172" fontId="3" fillId="0" borderId="0" xfId="0" applyNumberFormat="1" applyFont="1" applyAlignment="1">
      <alignment horizontal="right"/>
    </xf>
    <xf numFmtId="171" fontId="3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indent="2"/>
    </xf>
    <xf numFmtId="0" fontId="6" fillId="0" borderId="0" xfId="0" applyFont="1" applyAlignment="1">
      <alignment horizontal="left" vertical="center" indent="2"/>
    </xf>
    <xf numFmtId="0" fontId="5" fillId="0" borderId="0" xfId="0" applyFont="1" applyAlignment="1">
      <alignment horizontal="left" vertical="center" indent="2"/>
    </xf>
    <xf numFmtId="0" fontId="5" fillId="0" borderId="0" xfId="0" applyFont="1" applyAlignment="1">
      <alignment horizontal="left" vertical="center" indent="4"/>
    </xf>
    <xf numFmtId="0" fontId="5" fillId="0" borderId="0" xfId="0" applyFont="1" applyAlignment="1">
      <alignment vertical="center"/>
    </xf>
    <xf numFmtId="166" fontId="3" fillId="0" borderId="0" xfId="1" applyNumberFormat="1"/>
    <xf numFmtId="0" fontId="7" fillId="0" borderId="0" xfId="0" applyFont="1" applyAlignment="1">
      <alignment horizontal="left" vertical="center" wrapText="1"/>
    </xf>
    <xf numFmtId="0" fontId="2" fillId="0" borderId="0" xfId="0" applyFont="1"/>
    <xf numFmtId="172" fontId="3" fillId="0" borderId="5" xfId="0" applyNumberFormat="1" applyFont="1" applyBorder="1" applyAlignment="1">
      <alignment horizontal="right"/>
    </xf>
    <xf numFmtId="172" fontId="3" fillId="0" borderId="7" xfId="0" applyNumberFormat="1" applyFont="1" applyBorder="1" applyAlignment="1">
      <alignment horizontal="right"/>
    </xf>
    <xf numFmtId="172" fontId="3" fillId="0" borderId="8" xfId="0" applyNumberFormat="1" applyFont="1" applyBorder="1" applyAlignment="1">
      <alignment horizontal="right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/>
    <xf numFmtId="0" fontId="11" fillId="0" borderId="0" xfId="0" applyFont="1"/>
    <xf numFmtId="166" fontId="11" fillId="0" borderId="0" xfId="0" applyNumberFormat="1" applyFont="1"/>
    <xf numFmtId="0" fontId="11" fillId="0" borderId="0" xfId="0" applyFont="1" applyAlignment="1">
      <alignment horizontal="center" wrapText="1"/>
    </xf>
    <xf numFmtId="166" fontId="11" fillId="0" borderId="0" xfId="0" applyNumberFormat="1" applyFont="1" applyAlignment="1">
      <alignment horizontal="center" wrapText="1"/>
    </xf>
    <xf numFmtId="0" fontId="11" fillId="2" borderId="0" xfId="0" applyFont="1" applyFill="1"/>
    <xf numFmtId="164" fontId="11" fillId="2" borderId="0" xfId="0" applyNumberFormat="1" applyFont="1" applyFill="1"/>
    <xf numFmtId="165" fontId="11" fillId="2" borderId="0" xfId="0" applyNumberFormat="1" applyFont="1" applyFill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2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vertical="top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 wrapText="1"/>
    </xf>
    <xf numFmtId="0" fontId="14" fillId="0" borderId="0" xfId="2" applyFont="1"/>
    <xf numFmtId="0" fontId="14" fillId="4" borderId="0" xfId="2" applyFont="1" applyFill="1"/>
    <xf numFmtId="166" fontId="14" fillId="0" borderId="0" xfId="2" applyNumberFormat="1" applyFont="1"/>
    <xf numFmtId="0" fontId="14" fillId="0" borderId="0" xfId="2" applyFont="1" applyAlignment="1">
      <alignment horizontal="center"/>
    </xf>
    <xf numFmtId="166" fontId="14" fillId="0" borderId="0" xfId="2" applyNumberFormat="1" applyFont="1" applyAlignment="1">
      <alignment horizontal="center"/>
    </xf>
    <xf numFmtId="0" fontId="15" fillId="0" borderId="0" xfId="0" applyFont="1"/>
    <xf numFmtId="164" fontId="14" fillId="0" borderId="0" xfId="2" applyNumberFormat="1" applyFont="1"/>
    <xf numFmtId="165" fontId="14" fillId="0" borderId="0" xfId="2" applyNumberFormat="1" applyFont="1"/>
    <xf numFmtId="168" fontId="14" fillId="0" borderId="0" xfId="2" applyNumberFormat="1" applyFont="1"/>
    <xf numFmtId="166" fontId="15" fillId="0" borderId="0" xfId="0" applyNumberFormat="1" applyFont="1"/>
    <xf numFmtId="167" fontId="14" fillId="0" borderId="0" xfId="2" applyNumberFormat="1" applyFont="1"/>
    <xf numFmtId="0" fontId="14" fillId="0" borderId="0" xfId="2" applyFont="1" applyAlignment="1">
      <alignment horizontal="right"/>
    </xf>
    <xf numFmtId="1" fontId="14" fillId="0" borderId="0" xfId="2" applyNumberFormat="1" applyFont="1"/>
    <xf numFmtId="2" fontId="14" fillId="0" borderId="0" xfId="2" applyNumberFormat="1" applyFont="1"/>
    <xf numFmtId="0" fontId="14" fillId="0" borderId="0" xfId="2" applyFont="1" applyAlignment="1">
      <alignment horizontal="center" wrapText="1"/>
    </xf>
    <xf numFmtId="166" fontId="14" fillId="0" borderId="0" xfId="2" applyNumberFormat="1" applyFont="1" applyAlignment="1">
      <alignment horizontal="center" wrapText="1"/>
    </xf>
    <xf numFmtId="2" fontId="14" fillId="0" borderId="0" xfId="2" applyNumberFormat="1" applyFont="1" applyAlignment="1">
      <alignment horizontal="center"/>
    </xf>
    <xf numFmtId="0" fontId="14" fillId="4" borderId="0" xfId="2" applyFont="1" applyFill="1" applyAlignment="1">
      <alignment horizontal="left"/>
    </xf>
    <xf numFmtId="0" fontId="14" fillId="0" borderId="0" xfId="2" applyFont="1" applyAlignment="1">
      <alignment wrapText="1"/>
    </xf>
    <xf numFmtId="169" fontId="14" fillId="0" borderId="0" xfId="2" applyNumberFormat="1" applyFont="1"/>
    <xf numFmtId="166" fontId="14" fillId="0" borderId="0" xfId="2" applyNumberFormat="1" applyFont="1" applyAlignment="1">
      <alignment horizontal="left"/>
    </xf>
    <xf numFmtId="166" fontId="14" fillId="0" borderId="0" xfId="2" applyNumberFormat="1" applyFont="1" applyAlignment="1"/>
    <xf numFmtId="0" fontId="14" fillId="0" borderId="0" xfId="0" applyFont="1"/>
    <xf numFmtId="0" fontId="14" fillId="0" borderId="0" xfId="0" applyFont="1" applyAlignment="1">
      <alignment vertical="center"/>
    </xf>
    <xf numFmtId="166" fontId="14" fillId="0" borderId="0" xfId="0" applyNumberFormat="1" applyFont="1"/>
    <xf numFmtId="0" fontId="16" fillId="0" borderId="0" xfId="0" applyFont="1"/>
    <xf numFmtId="0" fontId="3" fillId="0" borderId="0" xfId="0" applyFont="1" applyAlignment="1">
      <alignment horizontal="justify" vertical="center"/>
    </xf>
    <xf numFmtId="2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indent="1"/>
    </xf>
    <xf numFmtId="166" fontId="14" fillId="0" borderId="0" xfId="0" applyNumberFormat="1" applyFont="1" applyAlignment="1">
      <alignment vertical="center"/>
    </xf>
  </cellXfs>
  <cellStyles count="3">
    <cellStyle name="Normal" xfId="0" builtinId="0"/>
    <cellStyle name="Normal 2" xfId="1" xr:uid="{00000000-0005-0000-0000-000001000000}"/>
    <cellStyle name="Normal 3" xfId="2" xr:uid="{C0B25BAD-FD7B-4D0E-BD2E-E5D343CE15F6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8190724/AppData/Local/Temp/6_testsol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1 Mean sd"/>
      <sheetName val="Q2 Missing DD"/>
      <sheetName val="Q4 traverse"/>
      <sheetName val="Loop Bowditch"/>
      <sheetName val="Interstn Brgs"/>
      <sheetName val="Missing BD (sample)"/>
      <sheetName val="Missing BD"/>
      <sheetName val="Resecn Collins Pt"/>
      <sheetName val="Resection"/>
      <sheetName val="Resectn 1300 a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9">
          <cell r="A9">
            <v>1</v>
          </cell>
          <cell r="B9" t="str">
            <v>UNSW pillar (on CE)</v>
          </cell>
          <cell r="C9">
            <v>321406.33299999998</v>
          </cell>
          <cell r="D9">
            <v>1245423.496</v>
          </cell>
        </row>
        <row r="10">
          <cell r="A10">
            <v>100</v>
          </cell>
          <cell r="B10" t="str">
            <v>TV, Warrane College</v>
          </cell>
          <cell r="C10">
            <v>320852.12900000002</v>
          </cell>
          <cell r="D10">
            <v>1245326.838</v>
          </cell>
        </row>
        <row r="11">
          <cell r="A11">
            <v>101</v>
          </cell>
          <cell r="B11" t="str">
            <v>on 4 Kennedy Line</v>
          </cell>
          <cell r="C11">
            <v>321364.21600000001</v>
          </cell>
          <cell r="D11">
            <v>1245148.048</v>
          </cell>
        </row>
        <row r="12">
          <cell r="A12">
            <v>102</v>
          </cell>
          <cell r="B12" t="str">
            <v>301-303 Anzac Parade</v>
          </cell>
          <cell r="C12">
            <v>320838.96999999997</v>
          </cell>
          <cell r="D12">
            <v>1245027.7180000001</v>
          </cell>
        </row>
        <row r="13">
          <cell r="A13">
            <v>103</v>
          </cell>
          <cell r="B13" t="str">
            <v>47-49 Willis St</v>
          </cell>
          <cell r="C13">
            <v>321333.16100000002</v>
          </cell>
          <cell r="D13">
            <v>1244993.452</v>
          </cell>
        </row>
        <row r="14">
          <cell r="A14">
            <v>121</v>
          </cell>
          <cell r="B14" t="str">
            <v>Matthews (Science) Bldg</v>
          </cell>
          <cell r="C14">
            <v>321559.33100000001</v>
          </cell>
          <cell r="D14">
            <v>1245482.0060000001</v>
          </cell>
        </row>
        <row r="15">
          <cell r="A15">
            <v>122</v>
          </cell>
          <cell r="B15" t="str">
            <v>Howard Radio</v>
          </cell>
          <cell r="C15">
            <v>322638.522</v>
          </cell>
          <cell r="D15">
            <v>1245012.3430000001</v>
          </cell>
        </row>
        <row r="16">
          <cell r="A16">
            <v>123</v>
          </cell>
          <cell r="B16" t="str">
            <v>St. Spiridon</v>
          </cell>
          <cell r="C16">
            <v>320651.815</v>
          </cell>
          <cell r="D16">
            <v>1244642.27</v>
          </cell>
        </row>
        <row r="17">
          <cell r="A17">
            <v>127</v>
          </cell>
          <cell r="B17" t="str">
            <v>P.O.W. Hospital</v>
          </cell>
          <cell r="C17">
            <v>322019.34100000001</v>
          </cell>
          <cell r="D17">
            <v>1245460.6089999999</v>
          </cell>
        </row>
        <row r="18">
          <cell r="A18">
            <v>128</v>
          </cell>
          <cell r="B18" t="str">
            <v>St. Judes</v>
          </cell>
          <cell r="C18">
            <v>322327.45899999997</v>
          </cell>
          <cell r="D18">
            <v>1246124.432</v>
          </cell>
        </row>
        <row r="19">
          <cell r="A19">
            <v>129</v>
          </cell>
          <cell r="B19" t="str">
            <v>South Randwick</v>
          </cell>
          <cell r="C19">
            <v>322096.50300000003</v>
          </cell>
          <cell r="D19">
            <v>1238047.379</v>
          </cell>
        </row>
        <row r="20">
          <cell r="A20">
            <v>130</v>
          </cell>
          <cell r="B20" t="str">
            <v>Harbour Bridge</v>
          </cell>
          <cell r="C20">
            <v>319388.66800000001</v>
          </cell>
          <cell r="D20">
            <v>1252745.9169999999</v>
          </cell>
        </row>
        <row r="21">
          <cell r="A21">
            <v>131</v>
          </cell>
          <cell r="B21" t="str">
            <v>Showground</v>
          </cell>
          <cell r="C21">
            <v>320853.44199999998</v>
          </cell>
          <cell r="D21">
            <v>1248305.1459999999</v>
          </cell>
        </row>
        <row r="22">
          <cell r="A22">
            <v>133</v>
          </cell>
          <cell r="B22" t="str">
            <v>Monastery</v>
          </cell>
          <cell r="C22">
            <v>320268.79999999999</v>
          </cell>
          <cell r="D22">
            <v>1245880.176</v>
          </cell>
        </row>
        <row r="23">
          <cell r="A23">
            <v>135</v>
          </cell>
          <cell r="B23" t="str">
            <v>Green Spire</v>
          </cell>
          <cell r="C23">
            <v>322232.576</v>
          </cell>
          <cell r="D23">
            <v>1245641.379</v>
          </cell>
        </row>
        <row r="24">
          <cell r="A24">
            <v>136</v>
          </cell>
          <cell r="B24" t="str">
            <v>Paddington</v>
          </cell>
          <cell r="C24">
            <v>320796.47899999999</v>
          </cell>
          <cell r="D24">
            <v>1249097.3489999999</v>
          </cell>
        </row>
        <row r="25">
          <cell r="A25">
            <v>140</v>
          </cell>
          <cell r="B25" t="str">
            <v>East Lake</v>
          </cell>
          <cell r="C25">
            <v>319420.84000000003</v>
          </cell>
          <cell r="D25">
            <v>1243195.99</v>
          </cell>
        </row>
        <row r="26">
          <cell r="A26">
            <v>141</v>
          </cell>
          <cell r="B26" t="str">
            <v>Broadway</v>
          </cell>
          <cell r="C26">
            <v>318464.73599999998</v>
          </cell>
          <cell r="D26">
            <v>1249256.193</v>
          </cell>
        </row>
        <row r="27">
          <cell r="A27">
            <v>144</v>
          </cell>
          <cell r="B27" t="str">
            <v>Ashfield</v>
          </cell>
          <cell r="C27">
            <v>311413.34499999997</v>
          </cell>
          <cell r="D27">
            <v>1247559.439</v>
          </cell>
        </row>
        <row r="28">
          <cell r="A28">
            <v>147</v>
          </cell>
          <cell r="B28" t="str">
            <v>Randwick Reservoir</v>
          </cell>
          <cell r="C28">
            <v>322639.24800000002</v>
          </cell>
          <cell r="D28">
            <v>1245011.5560000001</v>
          </cell>
        </row>
        <row r="29">
          <cell r="A29">
            <v>148</v>
          </cell>
          <cell r="B29" t="str">
            <v>Petersham Reservoir</v>
          </cell>
          <cell r="C29">
            <v>314304.31699999998</v>
          </cell>
          <cell r="D29">
            <v>1247868.1359999999</v>
          </cell>
        </row>
        <row r="30">
          <cell r="A30">
            <v>149</v>
          </cell>
          <cell r="B30" t="str">
            <v>Banskstown Reservoir</v>
          </cell>
          <cell r="C30">
            <v>303565.28499999997</v>
          </cell>
          <cell r="D30">
            <v>1246862.577</v>
          </cell>
        </row>
        <row r="31">
          <cell r="A31">
            <v>151</v>
          </cell>
          <cell r="B31" t="str">
            <v>Canarys Reservoir</v>
          </cell>
          <cell r="C31">
            <v>306866.87800000003</v>
          </cell>
          <cell r="D31">
            <v>1243947.3219999999</v>
          </cell>
        </row>
        <row r="32">
          <cell r="A32">
            <v>153</v>
          </cell>
          <cell r="B32" t="str">
            <v>Lightning Cond (GAS)</v>
          </cell>
          <cell r="C32">
            <v>321263.14299999998</v>
          </cell>
          <cell r="D32">
            <v>1245337.9509999999</v>
          </cell>
        </row>
        <row r="33">
          <cell r="A33">
            <v>154</v>
          </cell>
          <cell r="B33" t="str">
            <v>Lightning Cond (ME)</v>
          </cell>
          <cell r="C33">
            <v>321280.77799999999</v>
          </cell>
          <cell r="D33">
            <v>1245391.5049999999</v>
          </cell>
        </row>
        <row r="34">
          <cell r="A34">
            <v>156</v>
          </cell>
          <cell r="B34" t="str">
            <v>Lightning Cond (EE)</v>
          </cell>
          <cell r="C34">
            <v>321292.717</v>
          </cell>
          <cell r="D34">
            <v>1245463.0530000001</v>
          </cell>
        </row>
        <row r="35">
          <cell r="A35">
            <v>158</v>
          </cell>
          <cell r="B35" t="str">
            <v>Lightning Cond (AppSc)</v>
          </cell>
          <cell r="C35">
            <v>321033.92499999999</v>
          </cell>
          <cell r="D35">
            <v>1245539.102</v>
          </cell>
        </row>
        <row r="36">
          <cell r="A36">
            <v>159</v>
          </cell>
          <cell r="B36" t="str">
            <v>Lightning Cond (Chem W)</v>
          </cell>
          <cell r="C36">
            <v>321105.96100000001</v>
          </cell>
          <cell r="D36">
            <v>1245584.304</v>
          </cell>
        </row>
        <row r="37">
          <cell r="A37">
            <v>161</v>
          </cell>
          <cell r="B37" t="str">
            <v>Lightning Cond (CE)</v>
          </cell>
          <cell r="C37">
            <v>321412.73300000001</v>
          </cell>
          <cell r="D37">
            <v>1245418.5649999999</v>
          </cell>
        </row>
        <row r="38">
          <cell r="A38">
            <v>163</v>
          </cell>
          <cell r="B38" t="str">
            <v>Lightn Cond Samuels Bldg</v>
          </cell>
          <cell r="C38">
            <v>321654.67800000001</v>
          </cell>
          <cell r="D38">
            <v>1245457.7169999999</v>
          </cell>
        </row>
        <row r="39">
          <cell r="A39">
            <v>164</v>
          </cell>
          <cell r="B39" t="str">
            <v>Lightn Cond Biol Sc W</v>
          </cell>
          <cell r="C39">
            <v>321641.40000000002</v>
          </cell>
          <cell r="D39">
            <v>1245513.72</v>
          </cell>
        </row>
        <row r="40">
          <cell r="A40">
            <v>165</v>
          </cell>
          <cell r="B40" t="str">
            <v>Lightn Cond Biol Sc E</v>
          </cell>
          <cell r="C40">
            <v>321689.72700000001</v>
          </cell>
          <cell r="D40">
            <v>1245504.8959999999</v>
          </cell>
        </row>
        <row r="41">
          <cell r="A41">
            <v>166</v>
          </cell>
          <cell r="B41" t="str">
            <v>Lightn Cond Medicine N</v>
          </cell>
          <cell r="C41">
            <v>321708.27799999999</v>
          </cell>
          <cell r="D41">
            <v>1245566.206</v>
          </cell>
        </row>
        <row r="42">
          <cell r="A42">
            <v>167</v>
          </cell>
          <cell r="B42" t="str">
            <v>Lightn Cond RedCentre W</v>
          </cell>
          <cell r="C42">
            <v>321132.37699999998</v>
          </cell>
          <cell r="D42">
            <v>1245458.257</v>
          </cell>
        </row>
        <row r="43">
          <cell r="A43">
            <v>168</v>
          </cell>
          <cell r="B43" t="str">
            <v>Lightn Cond RedCentre E</v>
          </cell>
          <cell r="C43">
            <v>321223.56099999999</v>
          </cell>
          <cell r="D43">
            <v>1245443.1089999999</v>
          </cell>
        </row>
        <row r="44">
          <cell r="A44">
            <v>999</v>
          </cell>
          <cell r="B44" t="str">
            <v>Sydney (Centre Point) Tower</v>
          </cell>
          <cell r="C44">
            <v>319218.46399999998</v>
          </cell>
          <cell r="D44">
            <v>1250725.348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tabSelected="1" workbookViewId="0">
      <selection activeCell="D18" sqref="D18"/>
    </sheetView>
  </sheetViews>
  <sheetFormatPr defaultColWidth="9.140625" defaultRowHeight="12.75"/>
  <cols>
    <col min="1" max="1" width="9.140625" style="13"/>
    <col min="2" max="2" width="5.7109375" style="13" bestFit="1" customWidth="1"/>
    <col min="3" max="3" width="10" style="13" bestFit="1" customWidth="1"/>
    <col min="4" max="4" width="9.5703125" style="13" bestFit="1" customWidth="1"/>
    <col min="5" max="8" width="9.140625" style="13"/>
    <col min="9" max="10" width="12.85546875" style="13" customWidth="1"/>
    <col min="11" max="16384" width="9.140625" style="13"/>
  </cols>
  <sheetData>
    <row r="1" spans="1:10">
      <c r="A1" s="12" t="s">
        <v>60</v>
      </c>
    </row>
    <row r="3" spans="1:10">
      <c r="A3" s="12" t="s">
        <v>61</v>
      </c>
      <c r="C3" s="12"/>
      <c r="D3" s="14"/>
      <c r="E3" s="14" t="s">
        <v>17</v>
      </c>
      <c r="F3" s="14"/>
    </row>
    <row r="4" spans="1:10">
      <c r="F4" s="12" t="s">
        <v>18</v>
      </c>
    </row>
    <row r="5" spans="1:10">
      <c r="B5" s="12" t="s">
        <v>19</v>
      </c>
      <c r="C5" s="12" t="s">
        <v>20</v>
      </c>
      <c r="D5" s="12" t="s">
        <v>21</v>
      </c>
      <c r="F5" s="12" t="s">
        <v>22</v>
      </c>
      <c r="G5" s="12" t="s">
        <v>23</v>
      </c>
      <c r="H5" s="12" t="s">
        <v>24</v>
      </c>
      <c r="I5" s="12"/>
      <c r="J5" s="12"/>
    </row>
    <row r="6" spans="1:10">
      <c r="B6" s="12" t="s">
        <v>2</v>
      </c>
      <c r="C6" s="13">
        <v>45328.171999999999</v>
      </c>
      <c r="D6" s="43">
        <v>26985.03</v>
      </c>
      <c r="F6" s="13">
        <v>62</v>
      </c>
      <c r="G6" s="13">
        <v>14</v>
      </c>
      <c r="H6" s="13">
        <v>24</v>
      </c>
    </row>
    <row r="7" spans="1:10">
      <c r="B7" s="12" t="s">
        <v>3</v>
      </c>
      <c r="C7" s="13">
        <v>44626.184999999998</v>
      </c>
      <c r="D7" s="43">
        <v>26616.6</v>
      </c>
      <c r="F7" s="13">
        <v>35</v>
      </c>
      <c r="G7" s="13">
        <v>34</v>
      </c>
      <c r="H7" s="13">
        <v>20</v>
      </c>
    </row>
    <row r="8" spans="1:10">
      <c r="B8" s="12"/>
    </row>
    <row r="9" spans="1:10">
      <c r="B9" s="12"/>
    </row>
    <row r="10" spans="1:10">
      <c r="A10" s="12"/>
      <c r="C10" s="12"/>
      <c r="D10" s="14"/>
      <c r="E10" s="14"/>
      <c r="F10" s="14"/>
    </row>
    <row r="11" spans="1:10">
      <c r="B11" s="12"/>
      <c r="C11" s="12"/>
      <c r="D11" s="12"/>
      <c r="F11" s="12"/>
      <c r="G11" s="12"/>
      <c r="H11" s="12"/>
    </row>
    <row r="12" spans="1:10">
      <c r="B12" s="12"/>
      <c r="D12" s="43"/>
    </row>
    <row r="13" spans="1:10">
      <c r="B13" s="12"/>
      <c r="D13" s="43"/>
      <c r="I13" s="12"/>
    </row>
    <row r="14" spans="1:10">
      <c r="B14" s="12"/>
    </row>
    <row r="15" spans="1:10">
      <c r="B15" s="12"/>
    </row>
    <row r="17" spans="2:11">
      <c r="C17" s="12"/>
      <c r="D17" s="14"/>
      <c r="E17" s="14"/>
      <c r="F17" s="14"/>
    </row>
    <row r="19" spans="2:11">
      <c r="C19" s="12"/>
      <c r="D19" s="14"/>
      <c r="E19" s="14"/>
      <c r="F19" s="14"/>
    </row>
    <row r="20" spans="2:11">
      <c r="H20" s="12"/>
      <c r="I20" s="12"/>
      <c r="J20" s="12"/>
      <c r="K20" s="12"/>
    </row>
    <row r="22" spans="2:11">
      <c r="B22" s="12"/>
      <c r="C22" s="12"/>
      <c r="D22" s="12"/>
      <c r="F22" s="12"/>
      <c r="G22" s="12"/>
    </row>
    <row r="23" spans="2:11">
      <c r="B23" s="12"/>
      <c r="F23" s="12"/>
    </row>
    <row r="24" spans="2:11">
      <c r="B24" s="12"/>
      <c r="F24" s="12"/>
    </row>
    <row r="25" spans="2:11">
      <c r="B25" s="12"/>
      <c r="F25" s="12"/>
    </row>
    <row r="26" spans="2:11">
      <c r="F26" s="12"/>
    </row>
    <row r="29" spans="2:11">
      <c r="C29" s="12"/>
      <c r="D29" s="14"/>
      <c r="E29" s="14"/>
      <c r="F29" s="14"/>
    </row>
    <row r="31" spans="2:11">
      <c r="F31" s="12"/>
    </row>
    <row r="32" spans="2:11">
      <c r="B32" s="12"/>
      <c r="C32" s="12"/>
      <c r="D32" s="12"/>
      <c r="F32" s="12"/>
      <c r="G32" s="12"/>
      <c r="H32" s="12"/>
      <c r="I32" s="12"/>
      <c r="J32" s="12"/>
    </row>
    <row r="33" spans="1:6">
      <c r="B33" s="12"/>
    </row>
    <row r="34" spans="1:6">
      <c r="B34" s="12"/>
    </row>
    <row r="35" spans="1:6">
      <c r="B35" s="12"/>
    </row>
    <row r="36" spans="1:6">
      <c r="B36" s="12"/>
    </row>
    <row r="37" spans="1:6">
      <c r="B37" s="12"/>
    </row>
    <row r="38" spans="1:6">
      <c r="F38" s="12"/>
    </row>
    <row r="39" spans="1:6">
      <c r="B39" s="12"/>
      <c r="C39" s="12"/>
      <c r="D39" s="12"/>
    </row>
    <row r="40" spans="1:6">
      <c r="B40" s="12"/>
    </row>
    <row r="43" spans="1:6">
      <c r="A43" s="12"/>
      <c r="B43" s="12"/>
      <c r="C43" s="12"/>
      <c r="D43" s="12"/>
      <c r="F43" s="12"/>
    </row>
    <row r="44" spans="1:6">
      <c r="B44" s="12"/>
    </row>
    <row r="45" spans="1:6">
      <c r="F45" s="12"/>
    </row>
    <row r="46" spans="1:6">
      <c r="A46" s="12"/>
      <c r="B46" s="12"/>
      <c r="C46" s="12"/>
      <c r="D46" s="12"/>
    </row>
    <row r="47" spans="1:6">
      <c r="B47" s="12"/>
      <c r="F47" s="12"/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34119-4363-46BF-8CB4-2EDBFF7B044F}">
  <dimension ref="A1:H6"/>
  <sheetViews>
    <sheetView workbookViewId="0">
      <selection activeCell="G20" sqref="G20"/>
    </sheetView>
  </sheetViews>
  <sheetFormatPr defaultRowHeight="12.75"/>
  <sheetData>
    <row r="1" spans="1:8" ht="15">
      <c r="A1" s="52" t="s">
        <v>86</v>
      </c>
      <c r="B1" s="53"/>
      <c r="C1" s="53"/>
      <c r="D1" s="53"/>
      <c r="E1" s="53"/>
      <c r="F1" s="53"/>
      <c r="G1" s="53"/>
      <c r="H1" s="53"/>
    </row>
    <row r="2" spans="1:8" ht="15">
      <c r="A2" s="70" t="s">
        <v>19</v>
      </c>
      <c r="B2" s="70" t="s">
        <v>74</v>
      </c>
      <c r="C2" s="70" t="s">
        <v>75</v>
      </c>
      <c r="D2" s="70"/>
      <c r="E2" s="70" t="s">
        <v>69</v>
      </c>
      <c r="F2" s="70" t="s">
        <v>70</v>
      </c>
      <c r="G2" s="66" t="s">
        <v>76</v>
      </c>
      <c r="H2" s="66" t="s">
        <v>78</v>
      </c>
    </row>
    <row r="3" spans="1:8" ht="15">
      <c r="A3" s="70"/>
      <c r="B3" s="70"/>
      <c r="C3" s="70"/>
      <c r="D3" s="70"/>
      <c r="E3" s="70"/>
      <c r="F3" s="70"/>
      <c r="G3" s="66" t="s">
        <v>77</v>
      </c>
      <c r="H3" s="66" t="s">
        <v>79</v>
      </c>
    </row>
    <row r="4" spans="1:8" ht="15">
      <c r="A4" s="66">
        <v>91</v>
      </c>
      <c r="B4" s="67">
        <v>124.753</v>
      </c>
      <c r="C4" s="67">
        <v>245.86</v>
      </c>
      <c r="D4" s="68"/>
      <c r="E4" s="66">
        <v>61</v>
      </c>
      <c r="F4" s="68">
        <v>91</v>
      </c>
      <c r="G4" s="67" t="s">
        <v>80</v>
      </c>
      <c r="H4" s="68" t="s">
        <v>81</v>
      </c>
    </row>
    <row r="5" spans="1:8" ht="15">
      <c r="A5" s="66">
        <v>92</v>
      </c>
      <c r="B5" s="67">
        <v>131.38399999999999</v>
      </c>
      <c r="C5" s="67">
        <v>214.126</v>
      </c>
      <c r="D5" s="68"/>
      <c r="E5" s="66">
        <v>61</v>
      </c>
      <c r="F5" s="68">
        <v>92</v>
      </c>
      <c r="G5" s="67" t="s">
        <v>82</v>
      </c>
      <c r="H5" s="68" t="s">
        <v>83</v>
      </c>
    </row>
    <row r="6" spans="1:8" ht="15">
      <c r="A6" s="66">
        <v>93</v>
      </c>
      <c r="B6" s="67">
        <v>150.39400000000001</v>
      </c>
      <c r="C6" s="67">
        <v>202.92099999999999</v>
      </c>
      <c r="D6" s="68"/>
      <c r="E6" s="66">
        <v>61</v>
      </c>
      <c r="F6" s="68">
        <v>93</v>
      </c>
      <c r="G6" s="67" t="s">
        <v>84</v>
      </c>
      <c r="H6" s="68" t="s">
        <v>85</v>
      </c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26D47-6D06-4EFF-AA0C-5E9356C0C7EA}">
  <dimension ref="A1:G11"/>
  <sheetViews>
    <sheetView workbookViewId="0">
      <selection activeCell="G17" sqref="G17"/>
    </sheetView>
  </sheetViews>
  <sheetFormatPr defaultRowHeight="12.75"/>
  <sheetData>
    <row r="1" spans="1:7" ht="15">
      <c r="A1" s="52" t="s">
        <v>87</v>
      </c>
      <c r="B1" s="53"/>
      <c r="C1" s="53"/>
      <c r="D1" s="53"/>
      <c r="E1" s="53"/>
    </row>
    <row r="2" spans="1:7" ht="15">
      <c r="B2" s="61" t="s">
        <v>5</v>
      </c>
      <c r="C2" s="53" t="s">
        <v>6</v>
      </c>
      <c r="D2" s="53" t="s">
        <v>9</v>
      </c>
      <c r="F2" t="s">
        <v>90</v>
      </c>
    </row>
    <row r="3" spans="1:7" ht="15">
      <c r="A3" s="61" t="s">
        <v>88</v>
      </c>
      <c r="B3" s="53">
        <v>115.07599999999999</v>
      </c>
      <c r="C3" s="53">
        <v>526.29100000000005</v>
      </c>
      <c r="D3" s="53">
        <v>199.22399999999999</v>
      </c>
      <c r="E3" s="53"/>
    </row>
    <row r="4" spans="1:7" ht="15">
      <c r="A4" s="61" t="s">
        <v>89</v>
      </c>
      <c r="B4" s="53">
        <v>126.057</v>
      </c>
      <c r="C4" s="53">
        <v>515.30999999999995</v>
      </c>
      <c r="D4" s="53">
        <v>198.44800000000001</v>
      </c>
      <c r="E4" s="53"/>
    </row>
    <row r="5" spans="1:7" ht="15">
      <c r="A5" s="61"/>
      <c r="B5" s="53"/>
      <c r="C5" s="53"/>
      <c r="D5" s="53"/>
      <c r="E5" s="53"/>
    </row>
    <row r="6" spans="1:7" ht="15">
      <c r="A6" s="61"/>
      <c r="B6" s="53"/>
      <c r="C6" s="53"/>
      <c r="D6" s="53"/>
      <c r="E6" s="53"/>
    </row>
    <row r="7" spans="1:7" ht="15">
      <c r="A7" s="61" t="s">
        <v>93</v>
      </c>
      <c r="B7" s="53" t="s">
        <v>29</v>
      </c>
      <c r="C7" s="53" t="s">
        <v>94</v>
      </c>
      <c r="E7" s="53" t="s">
        <v>95</v>
      </c>
      <c r="F7" t="s">
        <v>96</v>
      </c>
      <c r="G7" t="s">
        <v>90</v>
      </c>
    </row>
    <row r="8" spans="1:7" ht="15">
      <c r="A8" s="61" t="s">
        <v>88</v>
      </c>
      <c r="B8" s="53">
        <v>0</v>
      </c>
      <c r="C8" s="53">
        <v>0</v>
      </c>
      <c r="D8" s="53">
        <v>0</v>
      </c>
      <c r="E8" s="53">
        <v>22.125</v>
      </c>
      <c r="F8">
        <v>1.1060000000000001</v>
      </c>
    </row>
    <row r="9" spans="1:7" ht="15">
      <c r="A9" s="61" t="s">
        <v>89</v>
      </c>
      <c r="B9" s="53">
        <v>27</v>
      </c>
      <c r="C9" s="53">
        <v>17</v>
      </c>
      <c r="D9" s="53">
        <v>2</v>
      </c>
      <c r="E9" s="53">
        <v>7.9039999999999999</v>
      </c>
      <c r="F9">
        <v>0.33100000000000002</v>
      </c>
    </row>
    <row r="10" spans="1:7" ht="15">
      <c r="A10" s="61" t="s">
        <v>91</v>
      </c>
      <c r="B10" s="53">
        <v>185</v>
      </c>
      <c r="C10" s="53">
        <v>43</v>
      </c>
      <c r="D10" s="53">
        <v>55</v>
      </c>
      <c r="E10" s="53">
        <v>8.016</v>
      </c>
      <c r="F10">
        <v>-0.44500000000000001</v>
      </c>
    </row>
    <row r="11" spans="1:7" ht="15">
      <c r="A11" s="61" t="s">
        <v>92</v>
      </c>
      <c r="B11" s="53">
        <v>213</v>
      </c>
      <c r="C11" s="53">
        <v>0</v>
      </c>
      <c r="D11" s="53">
        <v>56</v>
      </c>
      <c r="E11" s="53">
        <v>23.324999999999999</v>
      </c>
      <c r="F11">
        <v>-1.2210000000000001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DC883-113A-4628-A77C-A58B83FFBF2C}">
  <dimension ref="A1:D8"/>
  <sheetViews>
    <sheetView workbookViewId="0">
      <selection activeCell="F26" sqref="F26"/>
    </sheetView>
  </sheetViews>
  <sheetFormatPr defaultRowHeight="12.75"/>
  <sheetData>
    <row r="1" spans="1:4">
      <c r="A1" s="49" t="s">
        <v>97</v>
      </c>
    </row>
    <row r="2" spans="1:4">
      <c r="A2" s="37" t="s">
        <v>98</v>
      </c>
      <c r="B2" s="37" t="s">
        <v>99</v>
      </c>
      <c r="C2" s="36" t="s">
        <v>100</v>
      </c>
      <c r="D2" s="36"/>
    </row>
    <row r="3" spans="1:4">
      <c r="A3" s="69">
        <v>259</v>
      </c>
      <c r="B3" s="69">
        <v>1177.7139999999999</v>
      </c>
      <c r="C3" s="69">
        <v>5313.6769999999997</v>
      </c>
    </row>
    <row r="4" spans="1:4">
      <c r="A4" s="69">
        <v>281</v>
      </c>
      <c r="B4" s="69">
        <v>1135.4269999999999</v>
      </c>
      <c r="C4" s="69">
        <v>5220.2370000000001</v>
      </c>
    </row>
    <row r="5" spans="1:4">
      <c r="A5" s="69">
        <v>211</v>
      </c>
      <c r="B5" s="69">
        <v>1229.443</v>
      </c>
      <c r="C5" s="69">
        <v>5255.2079999999996</v>
      </c>
    </row>
    <row r="6" spans="1:4">
      <c r="A6" s="69">
        <v>212</v>
      </c>
      <c r="B6" s="69">
        <v>1224.6769999999999</v>
      </c>
      <c r="C6" s="69">
        <v>5177.2860000000001</v>
      </c>
    </row>
    <row r="8" spans="1:4">
      <c r="A8" s="69">
        <v>296</v>
      </c>
      <c r="B8" s="69">
        <v>1060</v>
      </c>
      <c r="C8" s="69">
        <v>5151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D297-6C7A-42BB-8787-A95C61C62657}">
  <dimension ref="A1:P72"/>
  <sheetViews>
    <sheetView workbookViewId="0">
      <selection activeCell="E37" sqref="E37"/>
    </sheetView>
  </sheetViews>
  <sheetFormatPr defaultColWidth="9.140625" defaultRowHeight="12.75"/>
  <cols>
    <col min="1" max="1" width="2.28515625" style="71" customWidth="1"/>
    <col min="2" max="2" width="18.28515625" style="71" bestFit="1" customWidth="1"/>
    <col min="3" max="3" width="12" style="73" bestFit="1" customWidth="1"/>
    <col min="4" max="4" width="4" style="71" bestFit="1" customWidth="1"/>
    <col min="5" max="5" width="3" style="71" bestFit="1" customWidth="1"/>
    <col min="6" max="6" width="4.42578125" style="71" bestFit="1" customWidth="1"/>
    <col min="7" max="7" width="6.42578125" style="71" bestFit="1" customWidth="1"/>
    <col min="8" max="8" width="7" style="71" bestFit="1" customWidth="1"/>
    <col min="9" max="9" width="9.5703125" style="71" customWidth="1"/>
    <col min="10" max="10" width="6" style="71" bestFit="1" customWidth="1"/>
    <col min="11" max="11" width="8" style="71" customWidth="1"/>
    <col min="12" max="12" width="10.42578125" style="71" customWidth="1"/>
    <col min="13" max="13" width="10" style="71" customWidth="1"/>
    <col min="14" max="14" width="8.140625" style="71" bestFit="1" customWidth="1"/>
    <col min="15" max="17" width="6.28515625" style="71" bestFit="1" customWidth="1"/>
    <col min="18" max="16384" width="9.140625" style="71"/>
  </cols>
  <sheetData>
    <row r="1" spans="1:16">
      <c r="B1" s="72" t="s">
        <v>101</v>
      </c>
      <c r="C1" s="71"/>
      <c r="D1" s="73"/>
    </row>
    <row r="2" spans="1:16">
      <c r="A2" s="74" t="s">
        <v>0</v>
      </c>
      <c r="B2" s="75" t="s">
        <v>5</v>
      </c>
      <c r="C2" s="74" t="s">
        <v>6</v>
      </c>
      <c r="D2" s="74" t="s">
        <v>1</v>
      </c>
      <c r="E2" s="74" t="s">
        <v>7</v>
      </c>
      <c r="F2" s="74" t="s">
        <v>8</v>
      </c>
      <c r="G2" s="74"/>
    </row>
    <row r="3" spans="1:16">
      <c r="A3" s="71" t="s">
        <v>2</v>
      </c>
      <c r="B3" s="76">
        <v>290192.63199999998</v>
      </c>
      <c r="C3" s="76">
        <v>6147883.5559999999</v>
      </c>
      <c r="D3" s="71">
        <v>215</v>
      </c>
      <c r="E3" s="77">
        <v>5</v>
      </c>
      <c r="F3" s="78">
        <v>29</v>
      </c>
      <c r="G3" s="79">
        <f t="shared" ref="G3:G5" si="0">D3+E3/60+F3/3600</f>
        <v>215.0913888888889</v>
      </c>
      <c r="H3" s="79"/>
      <c r="I3" s="79"/>
      <c r="K3" s="79"/>
      <c r="M3" s="79"/>
      <c r="N3" s="79"/>
      <c r="O3" s="79"/>
      <c r="P3" s="79"/>
    </row>
    <row r="4" spans="1:16">
      <c r="A4" s="71" t="s">
        <v>3</v>
      </c>
      <c r="B4" s="76">
        <v>289890.20199999999</v>
      </c>
      <c r="C4" s="76">
        <v>6147386.352</v>
      </c>
      <c r="D4" s="71">
        <v>300</v>
      </c>
      <c r="E4" s="77">
        <v>46</v>
      </c>
      <c r="F4" s="78">
        <v>4</v>
      </c>
      <c r="G4" s="79">
        <f t="shared" si="0"/>
        <v>300.76777777777778</v>
      </c>
      <c r="H4" s="79">
        <f>G4-G3</f>
        <v>85.67638888888888</v>
      </c>
      <c r="I4" s="79"/>
      <c r="K4" s="79"/>
      <c r="M4" s="79"/>
      <c r="N4" s="79"/>
      <c r="O4" s="79"/>
      <c r="P4" s="79"/>
    </row>
    <row r="5" spans="1:16">
      <c r="A5" s="71" t="s">
        <v>4</v>
      </c>
      <c r="B5" s="80">
        <v>289822.28000000003</v>
      </c>
      <c r="C5" s="76">
        <v>6147396.9919999996</v>
      </c>
      <c r="D5" s="71">
        <v>75</v>
      </c>
      <c r="E5" s="77">
        <v>29</v>
      </c>
      <c r="F5" s="78">
        <v>17</v>
      </c>
      <c r="G5" s="79">
        <f t="shared" si="0"/>
        <v>75.488055555555562</v>
      </c>
      <c r="H5" s="79">
        <f>G5-G4</f>
        <v>-225.27972222222223</v>
      </c>
      <c r="I5" s="79"/>
      <c r="K5" s="79"/>
      <c r="M5" s="79"/>
      <c r="N5" s="79"/>
      <c r="O5" s="79"/>
      <c r="P5" s="79"/>
    </row>
    <row r="6" spans="1:16">
      <c r="B6" s="73"/>
      <c r="E6" s="77"/>
      <c r="F6" s="81"/>
      <c r="G6" s="79"/>
      <c r="H6" s="79">
        <f>360-H4-H5</f>
        <v>499.60333333333335</v>
      </c>
      <c r="M6" s="79"/>
      <c r="N6" s="79"/>
      <c r="O6" s="79"/>
      <c r="P6" s="79"/>
    </row>
    <row r="7" spans="1:16">
      <c r="B7" s="82"/>
      <c r="C7" s="73">
        <f>SQRT((B4-B3)^2+(C4-C3)^2)</f>
        <v>581.95852302024662</v>
      </c>
      <c r="D7" s="83"/>
      <c r="F7" s="78"/>
      <c r="G7" s="79">
        <f>MOD(DEGREES(ATAN2(C4-C3,B4-B3)),360)</f>
        <v>211.3105348549783</v>
      </c>
    </row>
    <row r="8" spans="1:16">
      <c r="B8" s="82"/>
      <c r="C8" s="73">
        <f>-C7*SIN(RADIANS(H6))/SIN(RADIANS(H5+H6))</f>
        <v>378.22950048184651</v>
      </c>
      <c r="D8" s="83"/>
      <c r="F8" s="78"/>
      <c r="G8" s="79">
        <f>G7-180-H5</f>
        <v>256.59025707720053</v>
      </c>
    </row>
    <row r="9" spans="1:16">
      <c r="B9" s="82"/>
      <c r="C9" s="73">
        <f>-C7*SIN(RADIANS(H5))/SIN(RADIANS(H5+H6))</f>
        <v>414.69106085320294</v>
      </c>
      <c r="D9" s="83"/>
      <c r="F9" s="78"/>
      <c r="G9" s="79">
        <f>MOD(G7-180+(180-H6),360)</f>
        <v>71.707201521644947</v>
      </c>
    </row>
    <row r="10" spans="1:16">
      <c r="A10" s="71" t="s">
        <v>9</v>
      </c>
      <c r="B10" s="73">
        <f>B3+SIN(RADIANS(G8))*C8</f>
        <v>289824.71437602467</v>
      </c>
      <c r="C10" s="73">
        <f>C3+COS(RADIANS(G8))*C8</f>
        <v>6147795.8395420052</v>
      </c>
      <c r="D10" s="74"/>
    </row>
    <row r="11" spans="1:16">
      <c r="B11" s="84"/>
      <c r="C11" s="84"/>
      <c r="G11" s="79">
        <f>MOD(DEGREES(ATAN2(C5-C10,B5-B10)),360)</f>
        <v>180.34970189182215</v>
      </c>
    </row>
    <row r="12" spans="1:16">
      <c r="B12" s="84"/>
      <c r="C12" s="84"/>
      <c r="G12" s="79">
        <f>MOD(G11+180-H5,360)</f>
        <v>225.62942411404447</v>
      </c>
    </row>
    <row r="13" spans="1:16">
      <c r="B13" s="84"/>
      <c r="C13" s="84"/>
      <c r="G13" s="79">
        <f>MOD(G11-(H4+H5)+180,360)</f>
        <v>139.95303522515553</v>
      </c>
    </row>
    <row r="14" spans="1:16">
      <c r="B14" s="84"/>
      <c r="C14" s="84"/>
      <c r="G14" s="79">
        <f>G7+180-G12</f>
        <v>165.68111074093383</v>
      </c>
    </row>
    <row r="15" spans="1:16">
      <c r="C15" s="73">
        <f>C7*SIN(RADIANS(G14))/SIN(RADIANS(H4))</f>
        <v>144.33985760047594</v>
      </c>
      <c r="D15" s="83"/>
      <c r="F15" s="78"/>
      <c r="G15" s="79"/>
    </row>
    <row r="16" spans="1:16">
      <c r="A16" s="71" t="s">
        <v>102</v>
      </c>
      <c r="B16" s="73">
        <f>B3+C15*SIN(RADIANS(G13))</f>
        <v>290285.50247459987</v>
      </c>
      <c r="C16" s="73">
        <f>C3+C15*COS(RADIANS(G13))</f>
        <v>6147773.0613420308</v>
      </c>
      <c r="D16" s="74"/>
    </row>
    <row r="17" spans="1:15">
      <c r="D17" s="73"/>
      <c r="E17" s="74"/>
    </row>
    <row r="18" spans="1:15">
      <c r="B18" s="72" t="s">
        <v>103</v>
      </c>
      <c r="C18" s="71"/>
    </row>
    <row r="19" spans="1:15" ht="25.5">
      <c r="A19" s="85" t="s">
        <v>0</v>
      </c>
      <c r="B19" s="86" t="s">
        <v>5</v>
      </c>
      <c r="C19" s="85" t="s">
        <v>6</v>
      </c>
      <c r="D19" s="85" t="s">
        <v>1</v>
      </c>
      <c r="E19" s="85" t="s">
        <v>7</v>
      </c>
      <c r="F19" s="85" t="s">
        <v>8</v>
      </c>
      <c r="G19" s="85"/>
      <c r="H19" s="85"/>
      <c r="K19" s="71" t="s">
        <v>104</v>
      </c>
      <c r="L19" s="74" t="s">
        <v>105</v>
      </c>
    </row>
    <row r="20" spans="1:15">
      <c r="A20" s="71" t="s">
        <v>2</v>
      </c>
      <c r="B20" s="73">
        <f>B3</f>
        <v>290192.63199999998</v>
      </c>
      <c r="C20" s="73">
        <f>C3</f>
        <v>6147883.5559999999</v>
      </c>
      <c r="D20" s="71">
        <f>D3</f>
        <v>215</v>
      </c>
      <c r="E20" s="71">
        <f t="shared" ref="E20:F22" si="1">E3</f>
        <v>5</v>
      </c>
      <c r="F20" s="71">
        <f t="shared" si="1"/>
        <v>29</v>
      </c>
      <c r="G20" s="84">
        <f>D20+E20/60+F20/3600</f>
        <v>215.0913888888889</v>
      </c>
      <c r="H20" s="79"/>
      <c r="I20" s="84">
        <f>MOD(DEGREES(ATAN2((C21-C20),(B21-B20))),360)</f>
        <v>211.3105348549783</v>
      </c>
      <c r="J20" s="82" t="s">
        <v>2</v>
      </c>
      <c r="K20" s="84">
        <f>I22-I20</f>
        <v>5.966326235775739</v>
      </c>
      <c r="L20" s="73">
        <f>1/((1/TAN(K20))-(1/(TAN(H22))))</f>
        <v>-0.26184068159316337</v>
      </c>
    </row>
    <row r="21" spans="1:15">
      <c r="A21" s="71" t="s">
        <v>3</v>
      </c>
      <c r="B21" s="73">
        <f t="shared" ref="B21:D22" si="2">B4</f>
        <v>289890.20199999999</v>
      </c>
      <c r="C21" s="73">
        <f t="shared" si="2"/>
        <v>6147386.352</v>
      </c>
      <c r="D21" s="71">
        <f t="shared" si="2"/>
        <v>300</v>
      </c>
      <c r="E21" s="71">
        <f t="shared" si="1"/>
        <v>46</v>
      </c>
      <c r="F21" s="71">
        <f t="shared" si="1"/>
        <v>4</v>
      </c>
      <c r="G21" s="84">
        <f>D21+E21/60+F21/3600</f>
        <v>300.76777777777778</v>
      </c>
      <c r="H21" s="84">
        <f>G21-G20</f>
        <v>85.67638888888888</v>
      </c>
      <c r="I21" s="84">
        <f>MOD(DEGREES(ATAN2((C22-C21),(B22-B21))),360)</f>
        <v>278.90304529840341</v>
      </c>
      <c r="J21" s="82" t="s">
        <v>3</v>
      </c>
      <c r="K21" s="84">
        <f>180+I20-I21</f>
        <v>112.40748955657489</v>
      </c>
      <c r="L21" s="73">
        <f>1/((1/TAN(K21))-(1/(TAN(H23))))</f>
        <v>-0.70813617124881922</v>
      </c>
    </row>
    <row r="22" spans="1:15">
      <c r="A22" s="71" t="s">
        <v>4</v>
      </c>
      <c r="B22" s="73">
        <f t="shared" si="2"/>
        <v>289822.28000000003</v>
      </c>
      <c r="C22" s="73">
        <f t="shared" si="2"/>
        <v>6147396.9919999996</v>
      </c>
      <c r="D22" s="71">
        <f t="shared" si="2"/>
        <v>75</v>
      </c>
      <c r="E22" s="71">
        <f t="shared" si="1"/>
        <v>29</v>
      </c>
      <c r="F22" s="71">
        <f t="shared" si="1"/>
        <v>17</v>
      </c>
      <c r="G22" s="84">
        <f>D22+E22/60+F22/3600</f>
        <v>75.488055555555562</v>
      </c>
      <c r="H22" s="84">
        <f>G22-G21</f>
        <v>-225.27972222222223</v>
      </c>
      <c r="I22" s="84">
        <f>MOD(DEGREES(ATAN2((C22-C20),(B22-B20))),360)</f>
        <v>217.27686109075404</v>
      </c>
      <c r="J22" s="82" t="s">
        <v>4</v>
      </c>
      <c r="K22" s="84">
        <f>I21-I22</f>
        <v>61.626184207649374</v>
      </c>
      <c r="L22" s="73">
        <f>1/((1/TAN(K22))-(1/(TAN(H21))))</f>
        <v>-0.7969635999657424</v>
      </c>
    </row>
    <row r="23" spans="1:15">
      <c r="A23" s="74"/>
      <c r="C23" s="71"/>
      <c r="G23" s="84"/>
      <c r="H23" s="87">
        <f>MOD(G20-G22,360)</f>
        <v>139.60333333333335</v>
      </c>
      <c r="I23" s="87"/>
      <c r="K23" s="82"/>
      <c r="L23" s="73">
        <f>SUM(L20:L22)</f>
        <v>-1.766940452807725</v>
      </c>
    </row>
    <row r="24" spans="1:15">
      <c r="A24" s="74"/>
      <c r="C24" s="71"/>
    </row>
    <row r="25" spans="1:15">
      <c r="A25" s="74" t="s">
        <v>106</v>
      </c>
      <c r="B25" s="73">
        <f>(B20*L20+B21*L21+B22*L22)/(L23)</f>
        <v>289904.38307534833</v>
      </c>
      <c r="C25" s="91">
        <f>(C20*L20+C21*L21+C22*L22)/L23</f>
        <v>6147464.8311172407</v>
      </c>
      <c r="D25" s="91"/>
      <c r="E25" s="91"/>
      <c r="F25" s="91"/>
      <c r="G25" s="91"/>
    </row>
    <row r="26" spans="1:15">
      <c r="A26" s="74"/>
      <c r="C26" s="71"/>
    </row>
    <row r="27" spans="1:15">
      <c r="B27" s="88" t="s">
        <v>107</v>
      </c>
      <c r="C27" s="71"/>
    </row>
    <row r="28" spans="1:15" ht="15" customHeight="1">
      <c r="A28" s="85" t="s">
        <v>0</v>
      </c>
      <c r="B28" s="86" t="s">
        <v>5</v>
      </c>
      <c r="C28" s="85" t="s">
        <v>6</v>
      </c>
      <c r="D28" s="85"/>
      <c r="E28" s="85"/>
      <c r="F28" s="85"/>
      <c r="G28" s="85" t="s">
        <v>108</v>
      </c>
      <c r="H28" s="85" t="s">
        <v>109</v>
      </c>
      <c r="I28" s="89"/>
      <c r="J28" s="85"/>
      <c r="K28" s="85"/>
      <c r="L28" s="89" t="s">
        <v>110</v>
      </c>
      <c r="M28" s="89"/>
      <c r="N28" s="89"/>
    </row>
    <row r="29" spans="1:15">
      <c r="A29" s="71" t="s">
        <v>2</v>
      </c>
      <c r="B29" s="73">
        <f>B3</f>
        <v>290192.63199999998</v>
      </c>
      <c r="C29" s="73">
        <f>C3</f>
        <v>6147883.5559999999</v>
      </c>
      <c r="G29" s="84">
        <f>G3</f>
        <v>215.0913888888889</v>
      </c>
      <c r="H29" s="84"/>
      <c r="I29" s="79"/>
      <c r="L29" s="84">
        <f>MOD(L30-H30,360)</f>
        <v>274.30556705249876</v>
      </c>
      <c r="M29" s="79">
        <f>1/TAN(RADIANS(L29))</f>
        <v>-7.5288091131945373E-2</v>
      </c>
      <c r="N29" s="79"/>
    </row>
    <row r="30" spans="1:15">
      <c r="A30" s="71" t="s">
        <v>3</v>
      </c>
      <c r="B30" s="73">
        <f t="shared" ref="B30:C31" si="3">B4</f>
        <v>289890.20199999999</v>
      </c>
      <c r="C30" s="73">
        <f t="shared" si="3"/>
        <v>6147386.352</v>
      </c>
      <c r="G30" s="84">
        <f>G4</f>
        <v>300.76777777777778</v>
      </c>
      <c r="H30" s="84">
        <f>G30-G29</f>
        <v>85.67638888888888</v>
      </c>
      <c r="I30" s="79">
        <f>1/TAN(RADIANS(H30))</f>
        <v>7.5604811991839826E-2</v>
      </c>
      <c r="J30" s="79">
        <f>(B29-B30)*I30+(B31-B30)*I31-(C31-C29)</f>
        <v>576.69117970689854</v>
      </c>
      <c r="L30" s="84">
        <f>ATAN(J30/J31)*PI()/180</f>
        <v>-1.8044058612381921E-2</v>
      </c>
      <c r="M30" s="79">
        <f>1/TAN(RADIANS(L30))</f>
        <v>-3175.3265077276556</v>
      </c>
      <c r="N30" s="79"/>
    </row>
    <row r="31" spans="1:15">
      <c r="A31" s="71" t="s">
        <v>4</v>
      </c>
      <c r="B31" s="73">
        <f t="shared" si="3"/>
        <v>289822.28000000003</v>
      </c>
      <c r="C31" s="73">
        <f t="shared" si="3"/>
        <v>6147396.9919999996</v>
      </c>
      <c r="G31" s="84">
        <f>G5</f>
        <v>75.488055555555562</v>
      </c>
      <c r="H31" s="84">
        <f>G31-G30</f>
        <v>-225.27972222222223</v>
      </c>
      <c r="I31" s="79">
        <f>1/TAN(RADIANS(H31))</f>
        <v>-0.99028321333291758</v>
      </c>
      <c r="J31" s="79">
        <f>(C29-C30)*I30+(C31-C30)*I31+B31-B29</f>
        <v>-343.2975984478835</v>
      </c>
      <c r="K31" s="71">
        <f>J30/J31</f>
        <v>-1.679857890979237</v>
      </c>
      <c r="L31" s="84">
        <f>MOD(L30+H31,360)</f>
        <v>134.70223371916538</v>
      </c>
      <c r="M31" s="79">
        <f>1/TAN(RADIANS(L31))</f>
        <v>-0.98965964176465981</v>
      </c>
      <c r="N31" s="79"/>
      <c r="O31" s="76"/>
    </row>
    <row r="32" spans="1:15">
      <c r="A32" s="71" t="s">
        <v>106</v>
      </c>
      <c r="B32" s="73">
        <f>(C29-C30-B29*M29+B30*M30)/(M30-M29)</f>
        <v>289890.03824181476</v>
      </c>
      <c r="C32" s="92">
        <f>C29+(B32-B29)*M29</f>
        <v>6147906.337706442</v>
      </c>
      <c r="D32" s="92"/>
      <c r="E32" s="92"/>
      <c r="F32" s="92"/>
      <c r="G32" s="92"/>
      <c r="O32" s="76"/>
    </row>
    <row r="33" spans="1:15">
      <c r="B33" s="73"/>
      <c r="C33" s="71"/>
      <c r="J33" s="82"/>
      <c r="O33" s="76"/>
    </row>
    <row r="34" spans="1:15">
      <c r="B34" s="73"/>
      <c r="C34" s="71"/>
      <c r="O34" s="76"/>
    </row>
    <row r="35" spans="1:15">
      <c r="A35" s="74"/>
      <c r="C35" s="71"/>
      <c r="F35" s="78"/>
      <c r="G35" s="90"/>
      <c r="H35" s="90"/>
      <c r="O35" s="76"/>
    </row>
    <row r="36" spans="1:15">
      <c r="A36" s="74"/>
      <c r="C36" s="71"/>
      <c r="F36" s="78"/>
      <c r="G36" s="90"/>
      <c r="H36" s="90"/>
      <c r="I36" s="74"/>
      <c r="O36" s="76"/>
    </row>
    <row r="37" spans="1:15">
      <c r="A37" s="74"/>
      <c r="C37" s="71"/>
      <c r="F37" s="78"/>
      <c r="G37" s="90"/>
      <c r="H37" s="90"/>
      <c r="I37" s="74"/>
      <c r="O37" s="76"/>
    </row>
    <row r="38" spans="1:15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</row>
    <row r="39" spans="1:15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</row>
    <row r="40" spans="1:15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</row>
    <row r="41" spans="1:15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</row>
    <row r="42" spans="1:15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</row>
    <row r="43" spans="1:15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</row>
    <row r="44" spans="1:15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</row>
    <row r="45" spans="1:15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</row>
    <row r="46" spans="1:15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</row>
    <row r="47" spans="1:15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</row>
    <row r="48" spans="1:15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</row>
    <row r="49" spans="1:15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</row>
    <row r="50" spans="1:15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</row>
    <row r="51" spans="1:15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</row>
    <row r="52" spans="1:15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</row>
    <row r="53" spans="1:15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</row>
    <row r="54" spans="1:15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</row>
    <row r="55" spans="1:15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</row>
    <row r="56" spans="1:15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</row>
    <row r="57" spans="1:15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</row>
    <row r="58" spans="1:15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</row>
    <row r="59" spans="1:15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</row>
    <row r="60" spans="1:15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</row>
    <row r="61" spans="1:1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</row>
    <row r="62" spans="1:15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</row>
    <row r="63" spans="1:15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</row>
    <row r="64" spans="1:15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</row>
    <row r="65" spans="1:15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</row>
    <row r="66" spans="1:15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</row>
    <row r="67" spans="1:15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</row>
    <row r="68" spans="1:15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</row>
    <row r="69" spans="1:15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</row>
    <row r="70" spans="1:15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</row>
    <row r="71" spans="1:15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</row>
    <row r="72" spans="1:15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</row>
  </sheetData>
  <mergeCells count="2">
    <mergeCell ref="H23:I23"/>
    <mergeCell ref="C25:G2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5C577-F806-4B4B-9389-901921C716C8}">
  <dimension ref="A1:I6"/>
  <sheetViews>
    <sheetView workbookViewId="0">
      <selection activeCell="F19" sqref="F19"/>
    </sheetView>
  </sheetViews>
  <sheetFormatPr defaultRowHeight="12.75"/>
  <cols>
    <col min="2" max="2" width="11" bestFit="1" customWidth="1"/>
    <col min="3" max="3" width="12" bestFit="1" customWidth="1"/>
  </cols>
  <sheetData>
    <row r="1" spans="1:9">
      <c r="A1" s="96" t="s">
        <v>111</v>
      </c>
      <c r="B1" s="93"/>
      <c r="C1" s="93"/>
      <c r="D1" s="93"/>
      <c r="E1" s="93"/>
      <c r="F1" s="93"/>
      <c r="G1" s="93"/>
      <c r="H1" s="93"/>
      <c r="I1" s="93"/>
    </row>
    <row r="2" spans="1:9">
      <c r="A2" s="93"/>
      <c r="B2" s="93"/>
      <c r="C2" s="93"/>
      <c r="D2" s="93"/>
      <c r="E2" s="93"/>
      <c r="F2" s="93"/>
      <c r="G2" s="9" t="s">
        <v>116</v>
      </c>
      <c r="H2" s="93"/>
      <c r="I2" s="93"/>
    </row>
    <row r="3" spans="1:9">
      <c r="A3" s="37" t="s">
        <v>112</v>
      </c>
      <c r="B3" s="37" t="s">
        <v>113</v>
      </c>
      <c r="C3" s="37" t="s">
        <v>114</v>
      </c>
      <c r="F3" s="37" t="s">
        <v>115</v>
      </c>
      <c r="G3" s="37" t="s">
        <v>1</v>
      </c>
      <c r="H3" s="37" t="s">
        <v>7</v>
      </c>
      <c r="I3" s="93" t="s">
        <v>8</v>
      </c>
    </row>
    <row r="4" spans="1:9">
      <c r="A4" s="94">
        <v>433</v>
      </c>
      <c r="B4" s="93">
        <v>336661.848</v>
      </c>
      <c r="C4" s="93">
        <v>6245564.2939999998</v>
      </c>
      <c r="D4" s="93"/>
      <c r="E4" s="93"/>
      <c r="F4" s="94">
        <v>433</v>
      </c>
      <c r="G4" s="93">
        <v>0</v>
      </c>
      <c r="H4" s="93">
        <v>0</v>
      </c>
      <c r="I4" s="93">
        <v>9</v>
      </c>
    </row>
    <row r="5" spans="1:9">
      <c r="A5" s="94">
        <v>432</v>
      </c>
      <c r="B5" s="95">
        <v>336655.24</v>
      </c>
      <c r="C5" s="93">
        <v>6245518.1320000002</v>
      </c>
      <c r="D5" s="93"/>
      <c r="E5" s="93"/>
      <c r="F5" s="94">
        <v>432</v>
      </c>
      <c r="G5" s="93">
        <v>128</v>
      </c>
      <c r="H5" s="93">
        <v>20</v>
      </c>
      <c r="I5" s="93">
        <v>25</v>
      </c>
    </row>
    <row r="6" spans="1:9">
      <c r="A6" s="94">
        <v>416</v>
      </c>
      <c r="B6" s="93">
        <v>336620.26299999998</v>
      </c>
      <c r="C6" s="93">
        <v>6245523.977</v>
      </c>
      <c r="D6" s="93"/>
      <c r="E6" s="93"/>
      <c r="F6" s="94">
        <v>416</v>
      </c>
      <c r="G6" s="93">
        <v>230</v>
      </c>
      <c r="H6" s="93">
        <v>43</v>
      </c>
      <c r="I6" s="93">
        <v>57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1142D-9C5A-44A3-B10C-D9ACBC47D446}">
  <dimension ref="A1:G4"/>
  <sheetViews>
    <sheetView workbookViewId="0">
      <selection activeCell="C15" sqref="C15"/>
    </sheetView>
  </sheetViews>
  <sheetFormatPr defaultRowHeight="12.75"/>
  <cols>
    <col min="1" max="1" width="9.140625" style="93"/>
    <col min="2" max="2" width="10.85546875" style="93" bestFit="1" customWidth="1"/>
    <col min="3" max="3" width="12" style="93" bestFit="1" customWidth="1"/>
    <col min="4" max="16384" width="9.140625" style="93"/>
  </cols>
  <sheetData>
    <row r="1" spans="1:7">
      <c r="A1" s="96" t="s">
        <v>117</v>
      </c>
    </row>
    <row r="3" spans="1:7">
      <c r="A3" s="97" t="s">
        <v>2</v>
      </c>
      <c r="B3" s="93">
        <v>324380.72499999998</v>
      </c>
      <c r="C3" s="93">
        <v>6239851.6569999997</v>
      </c>
      <c r="E3" s="93" t="s">
        <v>118</v>
      </c>
      <c r="F3" s="93">
        <v>4.5419999999999998</v>
      </c>
      <c r="G3" s="93" t="s">
        <v>90</v>
      </c>
    </row>
    <row r="4" spans="1:7">
      <c r="A4" s="97" t="s">
        <v>3</v>
      </c>
      <c r="B4" s="93">
        <v>324388.125</v>
      </c>
      <c r="C4" s="93">
        <v>6239854.8279999997</v>
      </c>
      <c r="E4" s="93" t="s">
        <v>119</v>
      </c>
      <c r="F4" s="93">
        <v>7.1349999999999998</v>
      </c>
      <c r="G4" s="93" t="s">
        <v>90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84F6A-5052-43F2-9663-26DCA13D8830}">
  <dimension ref="A1:F5"/>
  <sheetViews>
    <sheetView workbookViewId="0">
      <selection activeCell="B8" sqref="B8"/>
    </sheetView>
  </sheetViews>
  <sheetFormatPr defaultRowHeight="12.75"/>
  <cols>
    <col min="1" max="1" width="9.140625" style="93"/>
    <col min="2" max="2" width="8" style="93" bestFit="1" customWidth="1"/>
    <col min="3" max="4" width="9.140625" style="93"/>
    <col min="5" max="5" width="12.85546875" style="93" bestFit="1" customWidth="1"/>
    <col min="6" max="16384" width="9.140625" style="93"/>
  </cols>
  <sheetData>
    <row r="1" spans="1:6">
      <c r="A1" s="96" t="s">
        <v>120</v>
      </c>
    </row>
    <row r="3" spans="1:6">
      <c r="A3" s="37" t="s">
        <v>2</v>
      </c>
      <c r="B3" s="37">
        <v>7475.35</v>
      </c>
      <c r="C3" s="37">
        <v>4206.71</v>
      </c>
      <c r="D3" s="99" t="s">
        <v>121</v>
      </c>
      <c r="E3" s="37" t="s">
        <v>122</v>
      </c>
      <c r="F3" s="37" t="s">
        <v>123</v>
      </c>
    </row>
    <row r="4" spans="1:6">
      <c r="A4" s="37" t="s">
        <v>3</v>
      </c>
      <c r="B4" s="98">
        <v>6647.5</v>
      </c>
      <c r="C4" s="37">
        <v>5656.11</v>
      </c>
      <c r="D4" s="99" t="s">
        <v>124</v>
      </c>
      <c r="E4" s="37" t="s">
        <v>125</v>
      </c>
      <c r="F4"/>
    </row>
    <row r="5" spans="1:6">
      <c r="A5" s="37" t="s">
        <v>4</v>
      </c>
      <c r="B5" s="37">
        <v>6761.96</v>
      </c>
      <c r="C5" s="37">
        <v>7126.17</v>
      </c>
      <c r="D5" s="99" t="s">
        <v>4</v>
      </c>
      <c r="E5" s="37" t="s">
        <v>126</v>
      </c>
      <c r="F5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ECDF9-EF89-4476-AA2E-AE7BA3B0DCBA}">
  <dimension ref="A1:I15"/>
  <sheetViews>
    <sheetView workbookViewId="0">
      <selection activeCell="H26" sqref="H26"/>
    </sheetView>
  </sheetViews>
  <sheetFormatPr defaultRowHeight="12.75"/>
  <cols>
    <col min="1" max="2" width="9.140625" style="93"/>
    <col min="3" max="4" width="10.140625" style="93" bestFit="1" customWidth="1"/>
    <col min="5" max="16384" width="9.140625" style="93"/>
  </cols>
  <sheetData>
    <row r="1" spans="1:9">
      <c r="A1" s="93" t="s">
        <v>127</v>
      </c>
    </row>
    <row r="3" spans="1:9">
      <c r="A3" s="94"/>
    </row>
    <row r="4" spans="1:9">
      <c r="A4" s="94" t="s">
        <v>2</v>
      </c>
      <c r="C4" s="100">
        <v>1881.61</v>
      </c>
      <c r="D4" s="100">
        <v>1523.19</v>
      </c>
    </row>
    <row r="5" spans="1:9">
      <c r="A5" s="94" t="s">
        <v>3</v>
      </c>
      <c r="C5" s="100">
        <v>2134.86</v>
      </c>
      <c r="D5" s="100">
        <v>1061.1400000000001</v>
      </c>
    </row>
    <row r="6" spans="1:9">
      <c r="A6" s="94"/>
    </row>
    <row r="7" spans="1:9">
      <c r="A7" s="94"/>
    </row>
    <row r="8" spans="1:9">
      <c r="A8" s="94" t="s">
        <v>128</v>
      </c>
    </row>
    <row r="9" spans="1:9">
      <c r="A9" s="94" t="s">
        <v>145</v>
      </c>
    </row>
    <row r="10" spans="1:9">
      <c r="A10" s="94" t="s">
        <v>70</v>
      </c>
      <c r="B10" s="93" t="s">
        <v>3</v>
      </c>
      <c r="C10" s="93" t="s">
        <v>129</v>
      </c>
      <c r="D10" s="93" t="s">
        <v>130</v>
      </c>
      <c r="E10" s="93" t="s">
        <v>131</v>
      </c>
      <c r="G10" s="93" t="s">
        <v>132</v>
      </c>
      <c r="H10" s="93" t="s">
        <v>130</v>
      </c>
      <c r="I10" s="93" t="s">
        <v>133</v>
      </c>
    </row>
    <row r="11" spans="1:9">
      <c r="A11" s="94" t="s">
        <v>70</v>
      </c>
      <c r="B11" s="93" t="s">
        <v>4</v>
      </c>
      <c r="C11" s="93" t="s">
        <v>134</v>
      </c>
      <c r="D11" s="93" t="s">
        <v>135</v>
      </c>
      <c r="E11" s="93" t="s">
        <v>136</v>
      </c>
      <c r="G11" s="93" t="s">
        <v>137</v>
      </c>
      <c r="H11" s="93" t="s">
        <v>135</v>
      </c>
      <c r="I11" s="93" t="s">
        <v>138</v>
      </c>
    </row>
    <row r="12" spans="1:9">
      <c r="A12" s="94"/>
    </row>
    <row r="13" spans="1:9">
      <c r="A13" s="94" t="s">
        <v>146</v>
      </c>
    </row>
    <row r="14" spans="1:9">
      <c r="A14" s="94" t="s">
        <v>70</v>
      </c>
      <c r="B14" s="93" t="s">
        <v>4</v>
      </c>
      <c r="C14" s="93" t="s">
        <v>129</v>
      </c>
      <c r="D14" s="93" t="s">
        <v>130</v>
      </c>
      <c r="E14" s="93" t="s">
        <v>133</v>
      </c>
      <c r="G14" s="93" t="s">
        <v>132</v>
      </c>
      <c r="H14" s="93" t="s">
        <v>130</v>
      </c>
      <c r="I14" s="93" t="s">
        <v>139</v>
      </c>
    </row>
    <row r="15" spans="1:9">
      <c r="A15" s="94" t="s">
        <v>70</v>
      </c>
      <c r="B15" s="93" t="s">
        <v>2</v>
      </c>
      <c r="C15" s="93" t="s">
        <v>140</v>
      </c>
      <c r="D15" s="93" t="s">
        <v>141</v>
      </c>
      <c r="E15" s="93" t="s">
        <v>142</v>
      </c>
      <c r="G15" s="93" t="s">
        <v>143</v>
      </c>
      <c r="H15" s="93" t="s">
        <v>141</v>
      </c>
      <c r="I15" s="93" t="s">
        <v>144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8"/>
  <sheetViews>
    <sheetView workbookViewId="0">
      <selection activeCell="D21" sqref="D21"/>
    </sheetView>
  </sheetViews>
  <sheetFormatPr defaultColWidth="9.140625" defaultRowHeight="12.75"/>
  <cols>
    <col min="1" max="1" width="9.140625" style="13"/>
    <col min="2" max="2" width="5.7109375" style="13" bestFit="1" customWidth="1"/>
    <col min="3" max="3" width="10" style="13" bestFit="1" customWidth="1"/>
    <col min="4" max="4" width="9.5703125" style="13" bestFit="1" customWidth="1"/>
    <col min="5" max="8" width="9.140625" style="13"/>
    <col min="9" max="10" width="12.85546875" style="13" customWidth="1"/>
    <col min="11" max="16384" width="9.140625" style="13"/>
  </cols>
  <sheetData>
    <row r="1" spans="1:11">
      <c r="A1" s="12" t="s">
        <v>63</v>
      </c>
      <c r="C1" s="12"/>
      <c r="D1" s="14"/>
      <c r="E1" s="14" t="s">
        <v>25</v>
      </c>
      <c r="F1" s="14"/>
    </row>
    <row r="3" spans="1:11">
      <c r="F3" s="12" t="s">
        <v>14</v>
      </c>
    </row>
    <row r="4" spans="1:11">
      <c r="B4" s="12" t="s">
        <v>19</v>
      </c>
      <c r="C4" s="12" t="s">
        <v>20</v>
      </c>
      <c r="D4" s="12" t="s">
        <v>21</v>
      </c>
      <c r="F4" s="12" t="s">
        <v>22</v>
      </c>
      <c r="G4" s="12" t="s">
        <v>23</v>
      </c>
      <c r="H4" s="12" t="s">
        <v>24</v>
      </c>
      <c r="I4" s="12"/>
    </row>
    <row r="5" spans="1:11">
      <c r="B5" s="12" t="s">
        <v>2</v>
      </c>
      <c r="C5" s="13">
        <v>45328.171999999999</v>
      </c>
      <c r="D5" s="43">
        <v>26985.03</v>
      </c>
      <c r="F5" s="13">
        <v>234</v>
      </c>
      <c r="G5" s="13">
        <v>48</v>
      </c>
      <c r="H5" s="13">
        <v>20</v>
      </c>
    </row>
    <row r="6" spans="1:11">
      <c r="B6" s="12" t="s">
        <v>3</v>
      </c>
      <c r="C6" s="13">
        <v>44626.184999999998</v>
      </c>
      <c r="D6" s="43">
        <v>26916.6</v>
      </c>
      <c r="F6" s="13">
        <v>126</v>
      </c>
      <c r="G6" s="13">
        <v>11</v>
      </c>
      <c r="H6" s="13">
        <v>30</v>
      </c>
    </row>
    <row r="8" spans="1:11">
      <c r="C8" s="12"/>
      <c r="D8" s="14"/>
      <c r="E8" s="14"/>
      <c r="F8" s="14"/>
    </row>
    <row r="10" spans="1:11" ht="13.5">
      <c r="A10" s="39"/>
      <c r="C10" s="12"/>
      <c r="D10" s="14"/>
      <c r="E10" s="14"/>
      <c r="F10" s="14"/>
    </row>
    <row r="11" spans="1:11" ht="13.5">
      <c r="A11" s="39"/>
      <c r="H11" s="12"/>
      <c r="I11" s="12"/>
      <c r="J11" s="12"/>
      <c r="K11" s="12"/>
    </row>
    <row r="12" spans="1:11" ht="13.5">
      <c r="A12" s="39"/>
    </row>
    <row r="13" spans="1:11" ht="13.5">
      <c r="A13" s="39"/>
      <c r="B13" s="12"/>
      <c r="C13" s="12"/>
      <c r="D13" s="12"/>
      <c r="F13" s="12"/>
      <c r="G13" s="12"/>
    </row>
    <row r="14" spans="1:11">
      <c r="A14" s="40"/>
      <c r="B14" s="12"/>
      <c r="F14" s="12"/>
    </row>
    <row r="15" spans="1:11">
      <c r="B15" s="12"/>
      <c r="F15" s="12"/>
    </row>
    <row r="16" spans="1:11">
      <c r="B16" s="12"/>
      <c r="F16" s="12"/>
    </row>
    <row r="17" spans="2:10">
      <c r="F17" s="12"/>
    </row>
    <row r="20" spans="2:10">
      <c r="C20" s="12"/>
      <c r="D20" s="14"/>
      <c r="E20" s="14"/>
      <c r="F20" s="14"/>
    </row>
    <row r="22" spans="2:10">
      <c r="F22" s="12"/>
    </row>
    <row r="23" spans="2:10">
      <c r="B23" s="12"/>
      <c r="C23" s="12"/>
      <c r="D23" s="12"/>
      <c r="F23" s="12"/>
      <c r="G23" s="12"/>
      <c r="H23" s="12"/>
      <c r="I23" s="12"/>
      <c r="J23" s="12"/>
    </row>
    <row r="24" spans="2:10">
      <c r="B24" s="12"/>
    </row>
    <row r="25" spans="2:10">
      <c r="B25" s="12"/>
    </row>
    <row r="26" spans="2:10">
      <c r="B26" s="12"/>
    </row>
    <row r="27" spans="2:10">
      <c r="B27" s="12"/>
    </row>
    <row r="28" spans="2:10">
      <c r="B28" s="12"/>
    </row>
    <row r="29" spans="2:10">
      <c r="F29" s="12"/>
    </row>
    <row r="30" spans="2:10">
      <c r="B30" s="12"/>
      <c r="C30" s="12"/>
      <c r="D30" s="12"/>
    </row>
    <row r="31" spans="2:10">
      <c r="B31" s="12"/>
    </row>
    <row r="34" spans="1:6">
      <c r="A34" s="12"/>
      <c r="B34" s="12"/>
      <c r="C34" s="12"/>
      <c r="D34" s="12"/>
      <c r="F34" s="12"/>
    </row>
    <row r="35" spans="1:6">
      <c r="B35" s="12"/>
    </row>
    <row r="36" spans="1:6">
      <c r="F36" s="12"/>
    </row>
    <row r="37" spans="1:6">
      <c r="A37" s="12"/>
      <c r="B37" s="12"/>
      <c r="C37" s="12"/>
      <c r="D37" s="12"/>
    </row>
    <row r="38" spans="1:6">
      <c r="B38" s="12"/>
      <c r="F38" s="12"/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9"/>
  <sheetViews>
    <sheetView workbookViewId="0">
      <selection activeCell="F15" sqref="F15"/>
    </sheetView>
  </sheetViews>
  <sheetFormatPr defaultColWidth="9.140625" defaultRowHeight="12.75"/>
  <cols>
    <col min="1" max="1" width="9.140625" style="13"/>
    <col min="2" max="2" width="5.7109375" style="13" bestFit="1" customWidth="1"/>
    <col min="3" max="3" width="10" style="13" bestFit="1" customWidth="1"/>
    <col min="4" max="4" width="9" style="13" bestFit="1" customWidth="1"/>
    <col min="5" max="8" width="9.140625" style="13"/>
    <col min="9" max="10" width="12.85546875" style="13" customWidth="1"/>
    <col min="11" max="16384" width="9.140625" style="13"/>
  </cols>
  <sheetData>
    <row r="1" spans="1:11">
      <c r="A1" s="12" t="s">
        <v>62</v>
      </c>
      <c r="C1" s="12"/>
      <c r="D1" s="14"/>
      <c r="E1" s="14" t="s">
        <v>26</v>
      </c>
      <c r="F1" s="14"/>
    </row>
    <row r="2" spans="1:11">
      <c r="H2" s="12"/>
      <c r="I2" s="12"/>
      <c r="J2" s="12"/>
      <c r="K2" s="12"/>
    </row>
    <row r="4" spans="1:11">
      <c r="B4" s="12" t="s">
        <v>19</v>
      </c>
      <c r="C4" s="12" t="s">
        <v>20</v>
      </c>
      <c r="D4" s="12" t="s">
        <v>21</v>
      </c>
      <c r="F4" s="12" t="s">
        <v>13</v>
      </c>
      <c r="G4" s="12" t="s">
        <v>15</v>
      </c>
    </row>
    <row r="5" spans="1:11">
      <c r="B5" s="12" t="s">
        <v>2</v>
      </c>
      <c r="C5" s="13">
        <v>1161.634</v>
      </c>
      <c r="D5" s="13">
        <v>3941.2860000000001</v>
      </c>
      <c r="F5" s="12" t="s">
        <v>28</v>
      </c>
      <c r="G5" s="13">
        <v>223.20099999999999</v>
      </c>
    </row>
    <row r="6" spans="1:11">
      <c r="B6" s="12" t="s">
        <v>3</v>
      </c>
      <c r="C6" s="13">
        <v>1099.6890000000001</v>
      </c>
      <c r="D6" s="13">
        <v>4085.4659999999999</v>
      </c>
      <c r="F6" s="12" t="s">
        <v>27</v>
      </c>
      <c r="G6" s="13">
        <v>216.01400000000001</v>
      </c>
    </row>
    <row r="7" spans="1:11">
      <c r="B7" s="12"/>
      <c r="F7" s="12"/>
    </row>
    <row r="8" spans="1:11">
      <c r="F8" s="12"/>
    </row>
    <row r="9" spans="1:11" ht="13.5">
      <c r="A9" s="39"/>
    </row>
    <row r="10" spans="1:11" ht="13.5">
      <c r="A10" s="39"/>
    </row>
    <row r="11" spans="1:11" ht="13.5">
      <c r="A11" s="39"/>
      <c r="C11" s="12"/>
      <c r="D11" s="14"/>
      <c r="E11" s="14"/>
      <c r="F11" s="14"/>
    </row>
    <row r="12" spans="1:11" ht="13.5">
      <c r="A12" s="39"/>
    </row>
    <row r="13" spans="1:11">
      <c r="A13" s="40"/>
      <c r="F13" s="12"/>
    </row>
    <row r="14" spans="1:11">
      <c r="B14" s="12"/>
      <c r="C14" s="12"/>
      <c r="D14" s="12"/>
      <c r="F14" s="12"/>
      <c r="G14" s="12"/>
      <c r="H14" s="12"/>
      <c r="I14" s="12"/>
      <c r="J14" s="12"/>
    </row>
    <row r="15" spans="1:11">
      <c r="B15" s="12"/>
    </row>
    <row r="16" spans="1:11">
      <c r="B16" s="12"/>
    </row>
    <row r="17" spans="1:6">
      <c r="B17" s="12"/>
    </row>
    <row r="18" spans="1:6">
      <c r="B18" s="12"/>
    </row>
    <row r="19" spans="1:6">
      <c r="B19" s="12"/>
    </row>
    <row r="20" spans="1:6">
      <c r="F20" s="12"/>
    </row>
    <row r="21" spans="1:6">
      <c r="B21" s="12"/>
      <c r="C21" s="12"/>
      <c r="D21" s="12"/>
    </row>
    <row r="22" spans="1:6">
      <c r="B22" s="12"/>
    </row>
    <row r="25" spans="1:6">
      <c r="A25" s="12"/>
      <c r="B25" s="12"/>
      <c r="C25" s="12"/>
      <c r="D25" s="12"/>
      <c r="F25" s="12"/>
    </row>
    <row r="26" spans="1:6">
      <c r="B26" s="12"/>
    </row>
    <row r="27" spans="1:6">
      <c r="F27" s="12"/>
    </row>
    <row r="28" spans="1:6">
      <c r="A28" s="12"/>
      <c r="B28" s="12"/>
      <c r="C28" s="12"/>
      <c r="D28" s="12"/>
    </row>
    <row r="29" spans="1:6">
      <c r="B29" s="12"/>
      <c r="F29" s="12"/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D7851-113D-4DBE-8B93-6C53CC125B6D}">
  <dimension ref="A1:I10"/>
  <sheetViews>
    <sheetView workbookViewId="0">
      <selection activeCell="E40" sqref="E40"/>
    </sheetView>
  </sheetViews>
  <sheetFormatPr defaultRowHeight="12.75"/>
  <cols>
    <col min="2" max="3" width="9.5703125" bestFit="1" customWidth="1"/>
  </cols>
  <sheetData>
    <row r="1" spans="1:9" ht="15">
      <c r="A1" s="52" t="s">
        <v>65</v>
      </c>
      <c r="B1" s="53"/>
      <c r="C1" s="53"/>
      <c r="D1" s="53"/>
      <c r="E1" s="53"/>
      <c r="F1" s="53"/>
      <c r="G1" s="53"/>
      <c r="H1" s="53"/>
      <c r="I1" s="53"/>
    </row>
    <row r="2" spans="1:9" ht="15">
      <c r="A2" s="50" t="s">
        <v>53</v>
      </c>
      <c r="B2" s="53"/>
      <c r="C2" s="53"/>
      <c r="D2" s="53"/>
      <c r="E2" s="53"/>
      <c r="F2" s="53"/>
      <c r="G2" s="53"/>
      <c r="H2" s="53"/>
      <c r="I2" s="53"/>
    </row>
    <row r="3" spans="1:9" ht="15">
      <c r="A3" s="53"/>
      <c r="B3" s="53"/>
      <c r="C3" s="53"/>
      <c r="D3" s="53"/>
      <c r="E3" s="53"/>
      <c r="F3" s="53"/>
      <c r="G3" s="53"/>
      <c r="H3" s="53"/>
      <c r="I3" s="53"/>
    </row>
    <row r="4" spans="1:9" ht="15">
      <c r="A4" s="51"/>
      <c r="B4" s="53" t="s">
        <v>5</v>
      </c>
      <c r="C4" s="53" t="s">
        <v>6</v>
      </c>
      <c r="D4" s="53"/>
      <c r="E4" s="53"/>
      <c r="F4" s="53" t="s">
        <v>59</v>
      </c>
      <c r="G4" s="53"/>
      <c r="H4" s="53"/>
      <c r="I4" s="53"/>
    </row>
    <row r="5" spans="1:9" ht="15">
      <c r="A5" s="53"/>
      <c r="B5" s="53"/>
      <c r="C5" s="53"/>
      <c r="D5" s="53"/>
      <c r="E5" s="53"/>
      <c r="F5" s="53"/>
      <c r="G5" s="53"/>
      <c r="H5" s="53"/>
      <c r="I5" s="53"/>
    </row>
    <row r="6" spans="1:9" ht="15">
      <c r="A6" s="51" t="s">
        <v>2</v>
      </c>
      <c r="B6" s="54">
        <v>82613.52</v>
      </c>
      <c r="C6" s="54">
        <v>54609.7</v>
      </c>
      <c r="D6" s="53" t="s">
        <v>54</v>
      </c>
      <c r="E6" s="53" t="s">
        <v>55</v>
      </c>
      <c r="F6" s="53" t="s">
        <v>10</v>
      </c>
      <c r="G6" s="53" t="s">
        <v>56</v>
      </c>
      <c r="H6" s="53"/>
      <c r="I6" s="53"/>
    </row>
    <row r="7" spans="1:9" ht="15">
      <c r="A7" s="51" t="s">
        <v>3</v>
      </c>
      <c r="B7" s="54">
        <v>86444.39</v>
      </c>
      <c r="C7" s="54">
        <v>49487.16</v>
      </c>
      <c r="D7" s="53" t="s">
        <v>54</v>
      </c>
      <c r="E7" s="53" t="s">
        <v>55</v>
      </c>
      <c r="F7" s="53" t="s">
        <v>11</v>
      </c>
      <c r="G7" s="53" t="s">
        <v>57</v>
      </c>
      <c r="H7" s="53"/>
      <c r="I7" s="53"/>
    </row>
    <row r="8" spans="1:9" ht="15">
      <c r="A8" s="51" t="s">
        <v>4</v>
      </c>
      <c r="B8" s="54">
        <v>80712.06</v>
      </c>
      <c r="C8" s="54">
        <v>47693.38</v>
      </c>
      <c r="D8" s="53" t="s">
        <v>54</v>
      </c>
      <c r="E8" s="53" t="s">
        <v>55</v>
      </c>
      <c r="F8" s="53" t="s">
        <v>12</v>
      </c>
      <c r="G8" s="53" t="s">
        <v>58</v>
      </c>
      <c r="H8" s="53"/>
      <c r="I8" s="53"/>
    </row>
    <row r="9" spans="1:9" ht="15">
      <c r="A9" s="53"/>
      <c r="B9" s="53"/>
      <c r="C9" s="53"/>
      <c r="D9" s="53"/>
      <c r="E9" s="53"/>
      <c r="F9" s="53"/>
      <c r="G9" s="53"/>
      <c r="H9" s="53"/>
      <c r="I9" s="53"/>
    </row>
    <row r="10" spans="1:9" ht="16.5">
      <c r="A10" s="44"/>
    </row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48"/>
  <sheetViews>
    <sheetView workbookViewId="0">
      <selection activeCell="G24" sqref="G24"/>
    </sheetView>
  </sheetViews>
  <sheetFormatPr defaultRowHeight="12.75"/>
  <cols>
    <col min="1" max="1" width="4.7109375" bestFit="1" customWidth="1"/>
    <col min="2" max="2" width="9.5703125" style="2" bestFit="1" customWidth="1"/>
    <col min="3" max="3" width="11.140625" customWidth="1"/>
    <col min="4" max="4" width="5.140625" bestFit="1" customWidth="1"/>
    <col min="5" max="5" width="3" customWidth="1"/>
    <col min="6" max="6" width="4.5703125" bestFit="1" customWidth="1"/>
    <col min="7" max="7" width="21.42578125" bestFit="1" customWidth="1"/>
    <col min="8" max="8" width="6.7109375" bestFit="1" customWidth="1"/>
    <col min="9" max="9" width="16.28515625" bestFit="1" customWidth="1"/>
    <col min="10" max="10" width="18" bestFit="1" customWidth="1"/>
    <col min="11" max="11" width="8.28515625" bestFit="1" customWidth="1"/>
    <col min="12" max="12" width="18.140625" bestFit="1" customWidth="1"/>
    <col min="13" max="13" width="4.7109375" customWidth="1"/>
    <col min="14" max="14" width="10.28515625" bestFit="1" customWidth="1"/>
    <col min="15" max="15" width="6.28515625" bestFit="1" customWidth="1"/>
  </cols>
  <sheetData>
    <row r="1" spans="1:15" ht="15">
      <c r="A1" s="52" t="s">
        <v>66</v>
      </c>
      <c r="B1" s="54"/>
      <c r="C1" s="53"/>
      <c r="D1" s="53"/>
      <c r="E1" s="53"/>
      <c r="F1" s="53"/>
    </row>
    <row r="2" spans="1:15" s="7" customFormat="1" ht="27" customHeight="1">
      <c r="A2" s="55" t="s">
        <v>0</v>
      </c>
      <c r="B2" s="56" t="s">
        <v>5</v>
      </c>
      <c r="C2" s="55" t="s">
        <v>6</v>
      </c>
      <c r="D2" s="55" t="s">
        <v>1</v>
      </c>
      <c r="E2" s="55" t="s">
        <v>7</v>
      </c>
      <c r="F2" s="55" t="s">
        <v>8</v>
      </c>
      <c r="G2" s="6"/>
      <c r="H2" s="6"/>
      <c r="J2" s="6"/>
      <c r="K2" s="6"/>
    </row>
    <row r="3" spans="1:15" ht="15">
      <c r="A3" s="53" t="s">
        <v>2</v>
      </c>
      <c r="B3" s="54">
        <v>18597.25</v>
      </c>
      <c r="C3" s="54">
        <v>113722.63</v>
      </c>
      <c r="D3" s="57">
        <v>0</v>
      </c>
      <c r="E3" s="58">
        <v>0</v>
      </c>
      <c r="F3" s="59">
        <v>0</v>
      </c>
      <c r="G3" s="11"/>
      <c r="H3" s="3"/>
      <c r="I3" s="3"/>
      <c r="L3" s="3"/>
      <c r="M3" s="3"/>
      <c r="N3" s="3"/>
      <c r="O3" s="3"/>
    </row>
    <row r="4" spans="1:15" ht="15">
      <c r="A4" s="53" t="s">
        <v>3</v>
      </c>
      <c r="B4" s="54">
        <v>10783.71</v>
      </c>
      <c r="C4" s="54">
        <v>111405.38</v>
      </c>
      <c r="D4" s="57">
        <v>140</v>
      </c>
      <c r="E4" s="58">
        <v>40</v>
      </c>
      <c r="F4" s="59">
        <v>23</v>
      </c>
      <c r="G4" s="11"/>
      <c r="H4" s="11"/>
      <c r="I4" s="3"/>
      <c r="M4" s="3"/>
      <c r="N4" s="3"/>
      <c r="O4" s="3"/>
    </row>
    <row r="5" spans="1:15" ht="15">
      <c r="A5" s="53" t="s">
        <v>4</v>
      </c>
      <c r="B5" s="54">
        <v>10186.969999999999</v>
      </c>
      <c r="C5" s="54">
        <v>116800.92</v>
      </c>
      <c r="D5" s="57">
        <v>257</v>
      </c>
      <c r="E5" s="58">
        <v>40</v>
      </c>
      <c r="F5" s="59">
        <v>29</v>
      </c>
      <c r="G5" s="11"/>
      <c r="H5" s="11"/>
      <c r="I5" s="3"/>
      <c r="L5" s="3"/>
      <c r="M5" s="3"/>
      <c r="N5" s="3"/>
      <c r="O5" s="3"/>
    </row>
    <row r="6" spans="1:15">
      <c r="C6" s="2"/>
      <c r="E6" s="4"/>
      <c r="F6" s="5"/>
      <c r="G6" s="3"/>
      <c r="J6" s="3"/>
      <c r="K6" s="3"/>
    </row>
    <row r="7" spans="1:15">
      <c r="J7" s="8"/>
    </row>
    <row r="9" spans="1:15">
      <c r="A9" s="1"/>
      <c r="B9"/>
      <c r="D9" s="9"/>
      <c r="E9" s="9"/>
      <c r="F9" s="10"/>
      <c r="G9" s="11"/>
      <c r="H9" s="11"/>
    </row>
    <row r="10" spans="1:15">
      <c r="A10" s="1"/>
      <c r="B10"/>
      <c r="D10" s="9"/>
      <c r="E10" s="9"/>
      <c r="F10" s="10"/>
      <c r="G10" s="11"/>
      <c r="H10" s="11"/>
      <c r="I10" s="1"/>
    </row>
    <row r="11" spans="1:15">
      <c r="A11" s="1"/>
      <c r="B11"/>
      <c r="D11" s="9"/>
      <c r="E11" s="9"/>
      <c r="F11" s="10"/>
      <c r="G11" s="11"/>
      <c r="H11" s="11"/>
      <c r="I11" s="1"/>
    </row>
    <row r="12" spans="1:15">
      <c r="A12" s="1"/>
      <c r="B12"/>
    </row>
    <row r="13" spans="1:15">
      <c r="A13" s="1"/>
      <c r="B13" s="15"/>
    </row>
    <row r="14" spans="1:15">
      <c r="A14" s="1"/>
      <c r="B14"/>
    </row>
    <row r="15" spans="1:15">
      <c r="A15" s="1"/>
      <c r="B15"/>
      <c r="G15" s="16"/>
    </row>
    <row r="16" spans="1:15">
      <c r="A16" s="1"/>
      <c r="B16"/>
      <c r="D16" s="16"/>
      <c r="G16" s="16"/>
    </row>
    <row r="17" spans="1:14">
      <c r="A17" s="1"/>
      <c r="B17"/>
      <c r="D17" s="16"/>
      <c r="G17" s="16"/>
    </row>
    <row r="18" spans="1:14">
      <c r="A18" s="1"/>
      <c r="C18" s="2"/>
      <c r="D18" s="16"/>
      <c r="G18" s="16"/>
      <c r="H18" s="3"/>
      <c r="I18" s="3"/>
      <c r="L18" s="3"/>
      <c r="M18" s="17"/>
      <c r="N18" s="3"/>
    </row>
    <row r="19" spans="1:14">
      <c r="A19" s="1"/>
      <c r="C19" s="2"/>
      <c r="D19" s="16"/>
      <c r="G19" s="16"/>
      <c r="H19" s="3"/>
      <c r="I19" s="3"/>
      <c r="M19" s="3"/>
      <c r="N19" s="3"/>
    </row>
    <row r="20" spans="1:14">
      <c r="A20" s="1"/>
      <c r="C20" s="2"/>
      <c r="D20" s="16"/>
      <c r="G20" s="16"/>
      <c r="H20" s="3"/>
      <c r="I20" s="3"/>
      <c r="L20" s="3"/>
      <c r="M20" s="3"/>
      <c r="N20" s="3"/>
    </row>
    <row r="21" spans="1:14">
      <c r="C21" s="2"/>
      <c r="G21" s="3"/>
      <c r="J21" s="3"/>
      <c r="K21" s="3"/>
    </row>
    <row r="22" spans="1:14">
      <c r="A22" s="1"/>
      <c r="B22"/>
    </row>
    <row r="23" spans="1:14">
      <c r="A23" s="1"/>
      <c r="B23"/>
    </row>
    <row r="24" spans="1:14">
      <c r="A24" s="1"/>
      <c r="B24"/>
    </row>
    <row r="25" spans="1:14">
      <c r="A25" s="1"/>
      <c r="B25"/>
    </row>
    <row r="26" spans="1:14">
      <c r="A26" s="1"/>
      <c r="B26"/>
    </row>
    <row r="27" spans="1:14">
      <c r="A27" s="1"/>
      <c r="B27"/>
    </row>
    <row r="28" spans="1:14">
      <c r="A28" s="1"/>
      <c r="B28"/>
    </row>
    <row r="29" spans="1:14">
      <c r="A29" s="1"/>
      <c r="B29"/>
    </row>
    <row r="30" spans="1:14">
      <c r="A30" s="1"/>
      <c r="B30"/>
    </row>
    <row r="31" spans="1:14">
      <c r="A31" s="1"/>
      <c r="B31"/>
    </row>
    <row r="32" spans="1:14">
      <c r="A32" s="1"/>
      <c r="B32"/>
    </row>
    <row r="33" spans="1:2">
      <c r="A33" s="1"/>
      <c r="B33"/>
    </row>
    <row r="34" spans="1:2">
      <c r="A34" s="1"/>
      <c r="B34"/>
    </row>
    <row r="35" spans="1:2">
      <c r="A35" s="1"/>
      <c r="B35"/>
    </row>
    <row r="36" spans="1:2">
      <c r="A36" s="1"/>
      <c r="B36"/>
    </row>
    <row r="37" spans="1:2">
      <c r="A37" s="1"/>
      <c r="B37"/>
    </row>
    <row r="38" spans="1:2">
      <c r="A38" s="1"/>
      <c r="B38"/>
    </row>
    <row r="39" spans="1:2">
      <c r="A39" s="1"/>
      <c r="B39"/>
    </row>
    <row r="40" spans="1:2">
      <c r="A40" s="1"/>
      <c r="B40"/>
    </row>
    <row r="41" spans="1:2">
      <c r="A41" s="1"/>
      <c r="B41"/>
    </row>
    <row r="42" spans="1:2">
      <c r="A42" s="1"/>
      <c r="B42"/>
    </row>
    <row r="43" spans="1:2">
      <c r="A43" s="1"/>
      <c r="B43"/>
    </row>
    <row r="44" spans="1:2">
      <c r="A44" s="1"/>
      <c r="B44"/>
    </row>
    <row r="45" spans="1:2">
      <c r="A45" s="1"/>
      <c r="B45"/>
    </row>
    <row r="46" spans="1:2">
      <c r="A46" s="1"/>
      <c r="B46"/>
    </row>
    <row r="47" spans="1:2">
      <c r="A47" s="1"/>
      <c r="B47"/>
    </row>
    <row r="48" spans="1:2">
      <c r="A48" s="1"/>
      <c r="B48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7"/>
  <sheetViews>
    <sheetView workbookViewId="0">
      <selection activeCell="J35" sqref="J35"/>
    </sheetView>
  </sheetViews>
  <sheetFormatPr defaultColWidth="9.140625" defaultRowHeight="12.75"/>
  <cols>
    <col min="1" max="1" width="18.42578125" style="9" customWidth="1"/>
    <col min="2" max="2" width="13.42578125" style="9" customWidth="1"/>
    <col min="3" max="3" width="12.85546875" style="9" customWidth="1"/>
    <col min="4" max="4" width="9.140625" style="9"/>
    <col min="5" max="5" width="6.42578125" style="9" bestFit="1" customWidth="1"/>
    <col min="6" max="6" width="16.42578125" style="9" bestFit="1" customWidth="1"/>
    <col min="7" max="7" width="11.7109375" style="9" bestFit="1" customWidth="1"/>
    <col min="8" max="16384" width="9.140625" style="9"/>
  </cols>
  <sheetData>
    <row r="1" spans="1:7" ht="13.5" thickBot="1">
      <c r="A1" s="45" t="s">
        <v>64</v>
      </c>
    </row>
    <row r="2" spans="1:7" ht="15">
      <c r="A2" s="18"/>
      <c r="B2" s="19" t="s">
        <v>30</v>
      </c>
      <c r="C2" s="20"/>
      <c r="E2" s="18"/>
      <c r="F2" s="19" t="s">
        <v>31</v>
      </c>
      <c r="G2" s="20"/>
    </row>
    <row r="3" spans="1:7">
      <c r="A3" s="21"/>
      <c r="B3" s="22" t="s">
        <v>32</v>
      </c>
      <c r="C3" s="23"/>
      <c r="E3" s="21"/>
      <c r="F3" s="22" t="s">
        <v>33</v>
      </c>
      <c r="G3" s="23"/>
    </row>
    <row r="4" spans="1:7">
      <c r="A4" s="21" t="s">
        <v>34</v>
      </c>
      <c r="B4" s="9" t="s">
        <v>35</v>
      </c>
      <c r="C4" s="23" t="s">
        <v>36</v>
      </c>
      <c r="E4" s="24" t="s">
        <v>34</v>
      </c>
      <c r="F4" s="25" t="s">
        <v>37</v>
      </c>
      <c r="G4" s="26" t="s">
        <v>38</v>
      </c>
    </row>
    <row r="5" spans="1:7">
      <c r="A5" s="21" t="s">
        <v>2</v>
      </c>
      <c r="B5" s="27">
        <v>102.5894</v>
      </c>
      <c r="C5" s="28">
        <v>506.71789999999999</v>
      </c>
      <c r="E5" s="24" t="s">
        <v>4</v>
      </c>
      <c r="F5" s="34">
        <v>62.449440000000003</v>
      </c>
      <c r="G5" s="46">
        <v>359.82360999999997</v>
      </c>
    </row>
    <row r="6" spans="1:7" ht="13.5" thickBot="1">
      <c r="A6" s="29" t="s">
        <v>3</v>
      </c>
      <c r="B6" s="30">
        <v>109.307</v>
      </c>
      <c r="C6" s="31">
        <v>503.4246</v>
      </c>
      <c r="E6" s="24" t="s">
        <v>1</v>
      </c>
      <c r="F6" s="34">
        <v>36.846600000000002</v>
      </c>
      <c r="G6" s="46">
        <v>336.63967000000002</v>
      </c>
    </row>
    <row r="7" spans="1:7">
      <c r="E7" s="24" t="s">
        <v>5</v>
      </c>
      <c r="F7" s="34">
        <v>70.746880000000004</v>
      </c>
      <c r="G7" s="46">
        <v>9.2611299999999996</v>
      </c>
    </row>
    <row r="8" spans="1:7">
      <c r="E8" s="24" t="s">
        <v>16</v>
      </c>
      <c r="F8" s="34">
        <v>99.848439999999997</v>
      </c>
      <c r="G8" s="46">
        <v>59.267589999999998</v>
      </c>
    </row>
    <row r="9" spans="1:7">
      <c r="E9" s="24" t="s">
        <v>39</v>
      </c>
      <c r="F9" s="34">
        <v>127.86516</v>
      </c>
      <c r="G9" s="46">
        <v>160.05027000000001</v>
      </c>
    </row>
    <row r="10" spans="1:7">
      <c r="A10" s="25"/>
      <c r="E10" s="24" t="s">
        <v>9</v>
      </c>
      <c r="F10" s="34">
        <v>156.63967</v>
      </c>
      <c r="G10" s="46">
        <v>216.8466</v>
      </c>
    </row>
    <row r="11" spans="1:7">
      <c r="E11" s="24" t="s">
        <v>40</v>
      </c>
      <c r="F11" s="34">
        <v>189.26113000000001</v>
      </c>
      <c r="G11" s="46">
        <v>250.74688</v>
      </c>
    </row>
    <row r="12" spans="1:7">
      <c r="E12" s="24" t="s">
        <v>41</v>
      </c>
      <c r="F12" s="34">
        <v>239.26759000000001</v>
      </c>
      <c r="G12" s="46">
        <v>279.84843999999998</v>
      </c>
    </row>
    <row r="13" spans="1:7" ht="13.5" thickBot="1">
      <c r="E13" s="32" t="s">
        <v>42</v>
      </c>
      <c r="F13" s="47">
        <v>340.05027000000001</v>
      </c>
      <c r="G13" s="48">
        <v>307.86516</v>
      </c>
    </row>
    <row r="15" spans="1:7" ht="15">
      <c r="F15" s="33"/>
    </row>
    <row r="16" spans="1:7" ht="15">
      <c r="A16" s="40"/>
      <c r="B16" s="33"/>
      <c r="F16" s="22"/>
    </row>
    <row r="17" spans="1:7">
      <c r="A17" s="38"/>
      <c r="B17" s="22"/>
      <c r="E17" s="22"/>
      <c r="F17" s="25"/>
      <c r="G17" s="25"/>
    </row>
    <row r="18" spans="1:7">
      <c r="A18" s="40"/>
      <c r="E18" s="22"/>
      <c r="F18" s="34"/>
      <c r="G18" s="34"/>
    </row>
    <row r="19" spans="1:7">
      <c r="A19" s="40"/>
      <c r="B19" s="35"/>
      <c r="C19" s="35"/>
      <c r="E19" s="22"/>
      <c r="F19" s="34"/>
      <c r="G19" s="34"/>
    </row>
    <row r="20" spans="1:7">
      <c r="A20" s="40"/>
      <c r="B20" s="35"/>
      <c r="C20" s="35"/>
      <c r="E20" s="22"/>
      <c r="F20" s="34"/>
      <c r="G20" s="34"/>
    </row>
    <row r="21" spans="1:7">
      <c r="A21" s="22"/>
      <c r="B21" s="35"/>
      <c r="C21" s="35"/>
      <c r="E21" s="22"/>
      <c r="F21" s="34"/>
      <c r="G21" s="34"/>
    </row>
    <row r="22" spans="1:7">
      <c r="A22" s="22"/>
      <c r="B22" s="35"/>
      <c r="C22" s="35"/>
      <c r="E22" s="22"/>
      <c r="F22" s="34"/>
      <c r="G22" s="34"/>
    </row>
    <row r="23" spans="1:7">
      <c r="A23" s="22"/>
      <c r="B23" s="35"/>
      <c r="C23" s="35"/>
      <c r="E23" s="22"/>
      <c r="F23" s="34"/>
      <c r="G23" s="34"/>
    </row>
    <row r="24" spans="1:7">
      <c r="A24" s="22"/>
      <c r="B24" s="35"/>
      <c r="C24" s="35"/>
      <c r="E24" s="22"/>
      <c r="F24" s="34"/>
      <c r="G24" s="34"/>
    </row>
    <row r="25" spans="1:7">
      <c r="A25" s="22"/>
      <c r="B25" s="35"/>
      <c r="C25" s="35"/>
      <c r="E25" s="22"/>
      <c r="F25" s="34"/>
      <c r="G25" s="34"/>
    </row>
    <row r="26" spans="1:7">
      <c r="A26" s="22"/>
      <c r="B26" s="35"/>
      <c r="C26" s="35"/>
      <c r="E26" s="22"/>
      <c r="F26" s="34"/>
      <c r="G26" s="34"/>
    </row>
    <row r="27" spans="1:7">
      <c r="A27" s="22"/>
      <c r="B27" s="35"/>
      <c r="C27" s="3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9"/>
  <sheetViews>
    <sheetView workbookViewId="0">
      <selection activeCell="D13" sqref="D13"/>
    </sheetView>
  </sheetViews>
  <sheetFormatPr defaultRowHeight="12.75"/>
  <cols>
    <col min="4" max="4" width="15.42578125" bestFit="1" customWidth="1"/>
    <col min="5" max="5" width="11.5703125" bestFit="1" customWidth="1"/>
    <col min="6" max="6" width="14.140625" bestFit="1" customWidth="1"/>
  </cols>
  <sheetData>
    <row r="1" spans="1:6" ht="15">
      <c r="A1" s="52" t="s">
        <v>67</v>
      </c>
      <c r="B1" s="53"/>
      <c r="C1" s="53"/>
      <c r="D1" s="53"/>
      <c r="E1" s="53"/>
      <c r="F1" s="53"/>
    </row>
    <row r="2" spans="1:6" ht="15">
      <c r="A2" s="53"/>
      <c r="B2" s="53"/>
      <c r="C2" s="53"/>
      <c r="D2" s="53"/>
      <c r="E2" s="53"/>
      <c r="F2" s="53"/>
    </row>
    <row r="3" spans="1:6" ht="15">
      <c r="A3" s="60" t="s">
        <v>19</v>
      </c>
      <c r="B3" s="60" t="s">
        <v>5</v>
      </c>
      <c r="C3" s="60" t="s">
        <v>6</v>
      </c>
      <c r="D3" s="61" t="s">
        <v>43</v>
      </c>
      <c r="E3" s="60" t="s">
        <v>44</v>
      </c>
      <c r="F3" s="60" t="s">
        <v>45</v>
      </c>
    </row>
    <row r="4" spans="1:6" ht="15">
      <c r="A4" s="60" t="s">
        <v>2</v>
      </c>
      <c r="B4" s="62">
        <v>335.8</v>
      </c>
      <c r="C4" s="63">
        <v>647.29</v>
      </c>
      <c r="D4" s="64"/>
      <c r="E4" s="60" t="s">
        <v>28</v>
      </c>
      <c r="F4" s="60">
        <v>0.88</v>
      </c>
    </row>
    <row r="5" spans="1:6" ht="15">
      <c r="A5" s="60" t="s">
        <v>3</v>
      </c>
      <c r="B5" s="63">
        <v>336.61</v>
      </c>
      <c r="C5" s="63">
        <v>652.17999999999995</v>
      </c>
      <c r="D5" s="64"/>
      <c r="E5" s="60" t="s">
        <v>27</v>
      </c>
      <c r="F5" s="60">
        <v>1.04</v>
      </c>
    </row>
    <row r="6" spans="1:6" ht="15">
      <c r="A6" s="60" t="s">
        <v>4</v>
      </c>
      <c r="B6" s="63">
        <v>340.36</v>
      </c>
      <c r="C6" s="63">
        <v>650.29</v>
      </c>
      <c r="D6" s="64"/>
      <c r="E6" s="60" t="s">
        <v>46</v>
      </c>
      <c r="F6" s="60">
        <v>0.37</v>
      </c>
    </row>
    <row r="7" spans="1:6" ht="15">
      <c r="A7" s="60" t="s">
        <v>1</v>
      </c>
      <c r="B7" s="63">
        <v>343.75</v>
      </c>
      <c r="C7" s="63">
        <v>649.67999999999995</v>
      </c>
      <c r="D7" s="64"/>
      <c r="E7" s="60" t="s">
        <v>47</v>
      </c>
      <c r="F7" s="60">
        <v>1.79</v>
      </c>
    </row>
    <row r="8" spans="1:6" ht="15">
      <c r="A8" s="60" t="s">
        <v>5</v>
      </c>
      <c r="B8" s="63">
        <v>347.76</v>
      </c>
      <c r="C8" s="63">
        <v>649.79</v>
      </c>
      <c r="D8" s="64"/>
      <c r="E8" s="60" t="s">
        <v>48</v>
      </c>
      <c r="F8" s="60">
        <v>0.93</v>
      </c>
    </row>
    <row r="9" spans="1:6" ht="15">
      <c r="A9" s="60" t="s">
        <v>16</v>
      </c>
      <c r="B9" s="63">
        <v>347.07</v>
      </c>
      <c r="C9" s="63">
        <v>645.61</v>
      </c>
      <c r="D9" s="64"/>
      <c r="E9" s="60" t="s">
        <v>49</v>
      </c>
      <c r="F9" s="60">
        <v>0.86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5838D-A52A-4445-854B-3B6B1B28C331}">
  <dimension ref="A1:I8"/>
  <sheetViews>
    <sheetView workbookViewId="0">
      <selection activeCell="F18" sqref="F18"/>
    </sheetView>
  </sheetViews>
  <sheetFormatPr defaultRowHeight="12.75"/>
  <cols>
    <col min="2" max="2" width="10.5703125" bestFit="1" customWidth="1"/>
    <col min="3" max="3" width="11.5703125" bestFit="1" customWidth="1"/>
  </cols>
  <sheetData>
    <row r="1" spans="1:9" ht="15">
      <c r="A1" s="52" t="s">
        <v>51</v>
      </c>
      <c r="B1" s="53"/>
      <c r="C1" s="53"/>
      <c r="D1" s="53"/>
      <c r="E1" s="53"/>
      <c r="F1" s="53"/>
      <c r="G1" s="53"/>
      <c r="H1" s="53"/>
      <c r="I1" s="53"/>
    </row>
    <row r="2" spans="1:9" ht="15">
      <c r="A2" s="61">
        <v>244</v>
      </c>
      <c r="B2" s="54">
        <v>336496.16200000001</v>
      </c>
      <c r="C2" s="54">
        <v>6245622.9759999998</v>
      </c>
      <c r="D2" s="53"/>
      <c r="E2" s="53"/>
      <c r="F2" s="53"/>
      <c r="G2" s="53"/>
      <c r="H2" s="53"/>
      <c r="I2" s="53"/>
    </row>
    <row r="3" spans="1:9" ht="15">
      <c r="A3" s="61">
        <v>243</v>
      </c>
      <c r="B3" s="54">
        <v>336481.60499999998</v>
      </c>
      <c r="C3" s="54">
        <v>6245624.2850000001</v>
      </c>
      <c r="D3" s="53"/>
      <c r="E3" s="53"/>
      <c r="F3" s="53"/>
      <c r="G3" s="53"/>
      <c r="H3" s="53"/>
      <c r="I3" s="53"/>
    </row>
    <row r="4" spans="1:9" ht="15">
      <c r="A4" s="65"/>
      <c r="B4" s="53"/>
      <c r="C4" s="53"/>
      <c r="D4" s="53"/>
      <c r="E4" s="53"/>
      <c r="F4" s="53"/>
      <c r="G4" s="53"/>
      <c r="H4" s="53"/>
      <c r="I4" s="53"/>
    </row>
    <row r="5" spans="1:9" ht="15">
      <c r="A5" s="61"/>
      <c r="B5" s="53"/>
      <c r="C5" s="53"/>
      <c r="D5" s="53"/>
      <c r="E5" s="53"/>
      <c r="F5" s="53"/>
      <c r="G5" s="53"/>
      <c r="H5" s="53"/>
      <c r="I5" s="53"/>
    </row>
    <row r="6" spans="1:9" ht="15">
      <c r="A6" s="61" t="s">
        <v>71</v>
      </c>
      <c r="B6" s="53">
        <v>11.323</v>
      </c>
      <c r="C6" s="53" t="s">
        <v>72</v>
      </c>
      <c r="D6" s="53">
        <v>9.9760000000000009</v>
      </c>
      <c r="E6" s="53" t="s">
        <v>73</v>
      </c>
      <c r="F6" s="54">
        <v>14.61</v>
      </c>
      <c r="G6" s="53"/>
      <c r="H6" s="53"/>
      <c r="I6" s="53"/>
    </row>
    <row r="7" spans="1:9" ht="15">
      <c r="A7" s="53"/>
      <c r="B7" s="53"/>
      <c r="C7" s="53"/>
      <c r="D7" s="53"/>
      <c r="E7" s="53"/>
      <c r="F7" s="53"/>
      <c r="G7" s="53"/>
      <c r="H7" s="53"/>
      <c r="I7" s="53"/>
    </row>
    <row r="8" spans="1:9" ht="15">
      <c r="A8" s="53"/>
      <c r="B8" s="53"/>
      <c r="C8" s="53"/>
      <c r="D8" s="53"/>
      <c r="E8" s="53"/>
      <c r="F8" s="53"/>
      <c r="G8" s="53"/>
      <c r="H8" s="53"/>
      <c r="I8" s="5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3"/>
  <sheetViews>
    <sheetView workbookViewId="0">
      <selection activeCell="E42" sqref="E42"/>
    </sheetView>
  </sheetViews>
  <sheetFormatPr defaultColWidth="9.140625" defaultRowHeight="12.75"/>
  <cols>
    <col min="1" max="1" width="9.140625" style="13"/>
    <col min="2" max="2" width="14.7109375" style="13" bestFit="1" customWidth="1"/>
    <col min="3" max="4" width="20.42578125" style="13" bestFit="1" customWidth="1"/>
    <col min="5" max="9" width="9.140625" style="13"/>
    <col min="10" max="10" width="8.42578125" style="13" bestFit="1" customWidth="1"/>
    <col min="11" max="16384" width="9.140625" style="13"/>
  </cols>
  <sheetData>
    <row r="1" spans="1:11">
      <c r="A1" s="12" t="s">
        <v>68</v>
      </c>
    </row>
    <row r="3" spans="1:11">
      <c r="C3" s="12"/>
      <c r="D3" s="14"/>
      <c r="E3" s="14" t="s">
        <v>52</v>
      </c>
      <c r="F3" s="14"/>
    </row>
    <row r="6" spans="1:11">
      <c r="B6" s="12" t="s">
        <v>19</v>
      </c>
      <c r="C6" s="12" t="s">
        <v>20</v>
      </c>
      <c r="D6" s="12" t="s">
        <v>21</v>
      </c>
      <c r="F6" s="13" t="s">
        <v>69</v>
      </c>
      <c r="G6" s="12" t="s">
        <v>70</v>
      </c>
      <c r="H6" s="12" t="s">
        <v>22</v>
      </c>
      <c r="I6" s="12" t="s">
        <v>23</v>
      </c>
      <c r="J6" s="12" t="s">
        <v>24</v>
      </c>
      <c r="K6" s="12"/>
    </row>
    <row r="7" spans="1:11">
      <c r="B7" s="37">
        <v>991</v>
      </c>
      <c r="C7" s="37">
        <v>290000.50400000002</v>
      </c>
      <c r="D7" s="37">
        <v>6147540.6030000001</v>
      </c>
      <c r="E7"/>
      <c r="F7" s="37">
        <v>5</v>
      </c>
      <c r="G7" s="37">
        <v>991</v>
      </c>
      <c r="H7" s="37">
        <v>150</v>
      </c>
      <c r="I7" s="13">
        <v>41</v>
      </c>
      <c r="J7" s="13">
        <v>57</v>
      </c>
    </row>
    <row r="8" spans="1:11">
      <c r="B8" s="37">
        <v>926</v>
      </c>
      <c r="C8" s="37">
        <v>289477.37300000002</v>
      </c>
      <c r="D8" s="37">
        <v>6147660.7369999997</v>
      </c>
      <c r="E8"/>
      <c r="F8" s="37">
        <v>5</v>
      </c>
      <c r="G8" s="37">
        <v>926</v>
      </c>
      <c r="H8" s="37">
        <v>246</v>
      </c>
      <c r="I8" s="13">
        <v>42</v>
      </c>
      <c r="J8" s="13">
        <v>13</v>
      </c>
    </row>
    <row r="9" spans="1:11">
      <c r="A9" s="41"/>
      <c r="B9" s="37">
        <v>921</v>
      </c>
      <c r="C9" s="37">
        <v>290192.16399999999</v>
      </c>
      <c r="D9" s="37">
        <v>6147882.102</v>
      </c>
      <c r="E9"/>
      <c r="F9" s="37">
        <v>5</v>
      </c>
      <c r="G9" s="37">
        <v>921</v>
      </c>
      <c r="H9" s="13">
        <v>28</v>
      </c>
      <c r="I9" s="13">
        <v>16</v>
      </c>
      <c r="J9" s="13">
        <v>26</v>
      </c>
    </row>
    <row r="10" spans="1:11">
      <c r="A10" s="42"/>
      <c r="B10"/>
      <c r="C10"/>
      <c r="D10"/>
    </row>
    <row r="11" spans="1:11">
      <c r="A11" s="42"/>
      <c r="B11"/>
      <c r="C11"/>
      <c r="D11"/>
    </row>
    <row r="13" spans="1:11">
      <c r="A13" s="13" t="s">
        <v>50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Ch2 Q1</vt:lpstr>
      <vt:lpstr>Q2</vt:lpstr>
      <vt:lpstr>Q3 </vt:lpstr>
      <vt:lpstr>Q4</vt:lpstr>
      <vt:lpstr>Q5</vt:lpstr>
      <vt:lpstr>Q6</vt:lpstr>
      <vt:lpstr>Q7</vt:lpstr>
      <vt:lpstr>Q8</vt:lpstr>
      <vt:lpstr>Q9</vt:lpstr>
      <vt:lpstr>Q10</vt:lpstr>
      <vt:lpstr>Q11</vt:lpstr>
      <vt:lpstr>Q12</vt:lpstr>
      <vt:lpstr>Q13</vt:lpstr>
      <vt:lpstr>Q14</vt:lpstr>
      <vt:lpstr>Q15</vt:lpstr>
      <vt:lpstr>Q16</vt:lpstr>
      <vt:lpstr>Q17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 Harvey</dc:creator>
  <cp:lastModifiedBy>Bruce Harvey</cp:lastModifiedBy>
  <cp:lastPrinted>2001-04-05T05:33:53Z</cp:lastPrinted>
  <dcterms:created xsi:type="dcterms:W3CDTF">1999-09-21T04:46:48Z</dcterms:created>
  <dcterms:modified xsi:type="dcterms:W3CDTF">2023-07-14T00:44:41Z</dcterms:modified>
</cp:coreProperties>
</file>